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activeTab="5"/>
  </bookViews>
  <sheets>
    <sheet name="TK-18C1" sheetId="1" r:id="rId1"/>
    <sheet name="TRUMONCHUNG-18C1" sheetId="6" r:id="rId2"/>
    <sheet name="TK-18T4" sheetId="9" r:id="rId3"/>
    <sheet name="TRUMONCHUNG-18T4" sheetId="10" r:id="rId4"/>
    <sheet name="MH-HOCTAI-DN-18C1" sheetId="11" r:id="rId5"/>
    <sheet name="MH-HOCTAI-DN-18T4" sheetId="12" r:id="rId6"/>
    <sheet name="KHÓA 2017" sheetId="2" r:id="rId7"/>
  </sheets>
  <definedNames>
    <definedName name="_xlnm.Print_Titles" localSheetId="6">'KHÓA 2017'!$3:$3</definedName>
    <definedName name="_xlnm.Print_Titles" localSheetId="4">'MH-HOCTAI-DN-18C1'!$2:$2</definedName>
    <definedName name="_xlnm.Print_Titles" localSheetId="5">'MH-HOCTAI-DN-18T4'!$2:$2</definedName>
    <definedName name="_xlnm.Print_Titles" localSheetId="0">'TK-18C1'!$2:$2</definedName>
    <definedName name="_xlnm.Print_Titles" localSheetId="2">'TK-18T4'!#REF!</definedName>
    <definedName name="_xlnm.Print_Titles" localSheetId="1">'TRUMONCHUNG-18C1'!#REF!</definedName>
    <definedName name="_xlnm.Print_Titles" localSheetId="3">'TRUMONCHUNG-18T4'!#REF!</definedName>
  </definedNames>
  <calcPr calcId="144525"/>
</workbook>
</file>

<file path=xl/calcChain.xml><?xml version="1.0" encoding="utf-8"?>
<calcChain xmlns="http://schemas.openxmlformats.org/spreadsheetml/2006/main">
  <c r="K18" i="12" l="1"/>
  <c r="K4" i="12"/>
  <c r="K30" i="12" s="1"/>
  <c r="K5" i="12"/>
  <c r="K7" i="12"/>
  <c r="K9" i="12"/>
  <c r="K10" i="12"/>
  <c r="K11" i="12"/>
  <c r="K12" i="12"/>
  <c r="K16" i="12"/>
  <c r="K19" i="12"/>
  <c r="K20" i="12"/>
  <c r="K21" i="12"/>
  <c r="K22" i="12"/>
  <c r="K23" i="12"/>
  <c r="K24" i="12"/>
  <c r="K25" i="12"/>
  <c r="K26" i="12"/>
  <c r="K27" i="12"/>
  <c r="K28" i="12"/>
  <c r="K29" i="12"/>
  <c r="K3" i="12"/>
  <c r="C29" i="12"/>
  <c r="F29" i="12" s="1"/>
  <c r="H29" i="12" s="1"/>
  <c r="C28" i="12"/>
  <c r="F28" i="12" s="1"/>
  <c r="H28" i="12" s="1"/>
  <c r="C27" i="12"/>
  <c r="F27" i="12" s="1"/>
  <c r="H27" i="12" s="1"/>
  <c r="F26" i="12"/>
  <c r="H26" i="12" s="1"/>
  <c r="E26" i="12"/>
  <c r="C25" i="12"/>
  <c r="E25" i="12" s="1"/>
  <c r="F24" i="12"/>
  <c r="H24" i="12" s="1"/>
  <c r="E24" i="12"/>
  <c r="F23" i="12"/>
  <c r="H23" i="12" s="1"/>
  <c r="E23" i="12"/>
  <c r="F22" i="12"/>
  <c r="H22" i="12" s="1"/>
  <c r="E22" i="12"/>
  <c r="C21" i="12"/>
  <c r="F21" i="12" s="1"/>
  <c r="H21" i="12" s="1"/>
  <c r="C20" i="12"/>
  <c r="F20" i="12" s="1"/>
  <c r="H20" i="12" s="1"/>
  <c r="C19" i="12"/>
  <c r="F19" i="12" s="1"/>
  <c r="H19" i="12" s="1"/>
  <c r="C18" i="12"/>
  <c r="F18" i="12" s="1"/>
  <c r="H18" i="12" s="1"/>
  <c r="C16" i="12"/>
  <c r="F16" i="12" s="1"/>
  <c r="H16" i="12" s="1"/>
  <c r="C12" i="12"/>
  <c r="F12" i="12" s="1"/>
  <c r="H12" i="12" s="1"/>
  <c r="C11" i="12"/>
  <c r="F11" i="12" s="1"/>
  <c r="H11" i="12" s="1"/>
  <c r="C10" i="12"/>
  <c r="F10" i="12" s="1"/>
  <c r="H10" i="12" s="1"/>
  <c r="C9" i="12"/>
  <c r="F9" i="12" s="1"/>
  <c r="H9" i="12" s="1"/>
  <c r="H7" i="12"/>
  <c r="F7" i="12"/>
  <c r="E7" i="12"/>
  <c r="F5" i="12"/>
  <c r="H5" i="12" s="1"/>
  <c r="E5" i="12"/>
  <c r="C4" i="12"/>
  <c r="F4" i="12" s="1"/>
  <c r="H4" i="12" s="1"/>
  <c r="C3" i="12"/>
  <c r="F3" i="12" s="1"/>
  <c r="H3" i="12" s="1"/>
  <c r="M40" i="11"/>
  <c r="K17" i="11"/>
  <c r="K18" i="11"/>
  <c r="K19" i="11"/>
  <c r="K20" i="11"/>
  <c r="K22" i="11"/>
  <c r="K23" i="11"/>
  <c r="K25" i="11"/>
  <c r="K26" i="11"/>
  <c r="K28" i="11"/>
  <c r="K29" i="11"/>
  <c r="K13" i="11"/>
  <c r="K14" i="11"/>
  <c r="K15" i="11"/>
  <c r="K16" i="11"/>
  <c r="K4" i="11"/>
  <c r="K5" i="11"/>
  <c r="K6" i="11"/>
  <c r="K7" i="11"/>
  <c r="K8" i="11"/>
  <c r="K9" i="11"/>
  <c r="K10" i="11"/>
  <c r="K11" i="11"/>
  <c r="K3" i="11"/>
  <c r="C29" i="11"/>
  <c r="F29" i="11" s="1"/>
  <c r="H29" i="11" s="1"/>
  <c r="F28" i="11"/>
  <c r="H28" i="11" s="1"/>
  <c r="C28" i="11"/>
  <c r="E28" i="11" s="1"/>
  <c r="C26" i="11"/>
  <c r="E26" i="11" s="1"/>
  <c r="C25" i="11"/>
  <c r="F25" i="11" s="1"/>
  <c r="H25" i="11" s="1"/>
  <c r="C23" i="11"/>
  <c r="E23" i="11" s="1"/>
  <c r="C22" i="11"/>
  <c r="E22" i="11" s="1"/>
  <c r="F20" i="11"/>
  <c r="H20" i="11" s="1"/>
  <c r="C20" i="11"/>
  <c r="E20" i="11" s="1"/>
  <c r="C19" i="11"/>
  <c r="E19" i="11" s="1"/>
  <c r="C18" i="11"/>
  <c r="E18" i="11" s="1"/>
  <c r="C17" i="11"/>
  <c r="F17" i="11" s="1"/>
  <c r="H17" i="11" s="1"/>
  <c r="C16" i="11"/>
  <c r="C15" i="11"/>
  <c r="C14" i="11"/>
  <c r="C13" i="11"/>
  <c r="F11" i="11"/>
  <c r="H11" i="11" s="1"/>
  <c r="C11" i="11"/>
  <c r="E11" i="11" s="1"/>
  <c r="C10" i="11"/>
  <c r="F10" i="11" s="1"/>
  <c r="H10" i="11" s="1"/>
  <c r="C9" i="11"/>
  <c r="C8" i="11"/>
  <c r="C7" i="11"/>
  <c r="C6" i="11"/>
  <c r="C5" i="11"/>
  <c r="F4" i="11"/>
  <c r="H4" i="11" s="1"/>
  <c r="C4" i="11"/>
  <c r="E4" i="11" s="1"/>
  <c r="C3" i="11"/>
  <c r="E3" i="11" s="1"/>
  <c r="E9" i="12" l="1"/>
  <c r="E10" i="12"/>
  <c r="E11" i="12"/>
  <c r="E12" i="12"/>
  <c r="E16" i="12"/>
  <c r="E18" i="12"/>
  <c r="E19" i="12"/>
  <c r="E20" i="12"/>
  <c r="E21" i="12"/>
  <c r="E3" i="12"/>
  <c r="F25" i="12"/>
  <c r="H25" i="12" s="1"/>
  <c r="H30" i="12" s="1"/>
  <c r="E4" i="12"/>
  <c r="E27" i="12"/>
  <c r="E28" i="12"/>
  <c r="E29" i="12"/>
  <c r="K30" i="11"/>
  <c r="F3" i="11"/>
  <c r="H3" i="11" s="1"/>
  <c r="F23" i="11"/>
  <c r="H23" i="11" s="1"/>
  <c r="F19" i="11"/>
  <c r="H19" i="11" s="1"/>
  <c r="E15" i="11"/>
  <c r="F15" i="11"/>
  <c r="H15" i="11" s="1"/>
  <c r="F5" i="11"/>
  <c r="H5" i="11" s="1"/>
  <c r="H30" i="11" s="1"/>
  <c r="E5" i="11"/>
  <c r="E8" i="11"/>
  <c r="F8" i="11"/>
  <c r="H8" i="11" s="1"/>
  <c r="E6" i="11"/>
  <c r="F6" i="11"/>
  <c r="H6" i="11" s="1"/>
  <c r="F9" i="11"/>
  <c r="H9" i="11" s="1"/>
  <c r="E9" i="11"/>
  <c r="F14" i="11"/>
  <c r="H14" i="11" s="1"/>
  <c r="E14" i="11"/>
  <c r="E7" i="11"/>
  <c r="F7" i="11"/>
  <c r="H7" i="11" s="1"/>
  <c r="F16" i="11"/>
  <c r="H16" i="11" s="1"/>
  <c r="E16" i="11"/>
  <c r="F13" i="11"/>
  <c r="H13" i="11" s="1"/>
  <c r="E13" i="11"/>
  <c r="E25" i="11"/>
  <c r="E10" i="11"/>
  <c r="E17" i="11"/>
  <c r="F18" i="11"/>
  <c r="H18" i="11" s="1"/>
  <c r="F22" i="11"/>
  <c r="H22" i="11" s="1"/>
  <c r="F26" i="11"/>
  <c r="H26" i="11" s="1"/>
  <c r="E29" i="11"/>
  <c r="H4" i="10"/>
  <c r="H5" i="10"/>
  <c r="H7" i="10"/>
  <c r="H9" i="10"/>
  <c r="H10" i="10"/>
  <c r="H11" i="10"/>
  <c r="H12" i="10"/>
  <c r="H16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E4" i="10"/>
  <c r="F4" i="10"/>
  <c r="E5" i="10"/>
  <c r="F5" i="10"/>
  <c r="E7" i="10"/>
  <c r="F7" i="10"/>
  <c r="E9" i="10"/>
  <c r="F9" i="10"/>
  <c r="E10" i="10"/>
  <c r="F10" i="10"/>
  <c r="E11" i="10"/>
  <c r="F11" i="10"/>
  <c r="E12" i="10"/>
  <c r="F12" i="10"/>
  <c r="E16" i="10"/>
  <c r="F16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C11" i="10"/>
  <c r="R13" i="2"/>
  <c r="C29" i="10"/>
  <c r="C28" i="10"/>
  <c r="C27" i="10"/>
  <c r="C25" i="10"/>
  <c r="C21" i="10"/>
  <c r="C20" i="10"/>
  <c r="C19" i="10"/>
  <c r="C18" i="10"/>
  <c r="C16" i="10"/>
  <c r="C12" i="10"/>
  <c r="C10" i="10"/>
  <c r="C9" i="10"/>
  <c r="C4" i="10"/>
  <c r="C3" i="10"/>
  <c r="F3" i="10" s="1"/>
  <c r="H3" i="10" s="1"/>
  <c r="D34" i="9"/>
  <c r="C34" i="9"/>
  <c r="F34" i="9" s="1"/>
  <c r="H34" i="9" s="1"/>
  <c r="C33" i="9"/>
  <c r="E33" i="9" s="1"/>
  <c r="C32" i="9"/>
  <c r="E32" i="9" s="1"/>
  <c r="D29" i="9"/>
  <c r="C29" i="9"/>
  <c r="D28" i="9"/>
  <c r="C28" i="9"/>
  <c r="F28" i="9" s="1"/>
  <c r="H28" i="9" s="1"/>
  <c r="D27" i="9"/>
  <c r="C27" i="9"/>
  <c r="F27" i="9" s="1"/>
  <c r="H27" i="9" s="1"/>
  <c r="D26" i="9"/>
  <c r="C26" i="9"/>
  <c r="F26" i="9" s="1"/>
  <c r="H26" i="9" s="1"/>
  <c r="D25" i="9"/>
  <c r="C25" i="9"/>
  <c r="D24" i="9"/>
  <c r="C24" i="9"/>
  <c r="F24" i="9" s="1"/>
  <c r="H24" i="9" s="1"/>
  <c r="D23" i="9"/>
  <c r="C23" i="9"/>
  <c r="D22" i="9"/>
  <c r="C22" i="9"/>
  <c r="D21" i="9"/>
  <c r="C21" i="9"/>
  <c r="D20" i="9"/>
  <c r="C20" i="9"/>
  <c r="F20" i="9" s="1"/>
  <c r="H20" i="9" s="1"/>
  <c r="D19" i="9"/>
  <c r="C19" i="9"/>
  <c r="F19" i="9" s="1"/>
  <c r="H19" i="9" s="1"/>
  <c r="D18" i="9"/>
  <c r="C18" i="9"/>
  <c r="F18" i="9" s="1"/>
  <c r="H18" i="9" s="1"/>
  <c r="D16" i="9"/>
  <c r="C16" i="9"/>
  <c r="F16" i="9" s="1"/>
  <c r="H16" i="9" s="1"/>
  <c r="D12" i="9"/>
  <c r="C12" i="9"/>
  <c r="F12" i="9" s="1"/>
  <c r="H12" i="9" s="1"/>
  <c r="D11" i="9"/>
  <c r="C11" i="9"/>
  <c r="F11" i="9" s="1"/>
  <c r="H11" i="9" s="1"/>
  <c r="D10" i="9"/>
  <c r="C10" i="9"/>
  <c r="F10" i="9" s="1"/>
  <c r="H10" i="9" s="1"/>
  <c r="D9" i="9"/>
  <c r="C9" i="9"/>
  <c r="F9" i="9" s="1"/>
  <c r="H9" i="9" s="1"/>
  <c r="D7" i="9"/>
  <c r="C7" i="9"/>
  <c r="E7" i="9" s="1"/>
  <c r="D5" i="9"/>
  <c r="C5" i="9"/>
  <c r="F5" i="9" s="1"/>
  <c r="H5" i="9" s="1"/>
  <c r="D4" i="9"/>
  <c r="C4" i="9"/>
  <c r="F4" i="9" s="1"/>
  <c r="H4" i="9" s="1"/>
  <c r="F3" i="9"/>
  <c r="H3" i="9" s="1"/>
  <c r="D3" i="9"/>
  <c r="C3" i="9"/>
  <c r="H7" i="6"/>
  <c r="H26" i="6"/>
  <c r="N34" i="6"/>
  <c r="M34" i="6"/>
  <c r="P34" i="6" s="1"/>
  <c r="R34" i="6" s="1"/>
  <c r="M33" i="6"/>
  <c r="O33" i="6" s="1"/>
  <c r="M32" i="6"/>
  <c r="O32" i="6" s="1"/>
  <c r="U29" i="6"/>
  <c r="W29" i="6" s="1"/>
  <c r="N29" i="6"/>
  <c r="M29" i="6"/>
  <c r="P29" i="6" s="1"/>
  <c r="R29" i="6" s="1"/>
  <c r="C29" i="6"/>
  <c r="E29" i="6" s="1"/>
  <c r="X28" i="6"/>
  <c r="Z28" i="6" s="1"/>
  <c r="U28" i="6"/>
  <c r="W28" i="6" s="1"/>
  <c r="N28" i="6"/>
  <c r="M28" i="6"/>
  <c r="C28" i="6"/>
  <c r="E28" i="6" s="1"/>
  <c r="U27" i="6"/>
  <c r="W27" i="6" s="1"/>
  <c r="N27" i="6"/>
  <c r="M27" i="6"/>
  <c r="N26" i="6"/>
  <c r="M26" i="6"/>
  <c r="P26" i="6" s="1"/>
  <c r="R26" i="6" s="1"/>
  <c r="E26" i="6"/>
  <c r="C26" i="6"/>
  <c r="F26" i="6" s="1"/>
  <c r="U25" i="6"/>
  <c r="W25" i="6" s="1"/>
  <c r="N25" i="6"/>
  <c r="M25" i="6"/>
  <c r="P25" i="6" s="1"/>
  <c r="R25" i="6" s="1"/>
  <c r="C25" i="6"/>
  <c r="E25" i="6" s="1"/>
  <c r="N24" i="6"/>
  <c r="M24" i="6"/>
  <c r="N23" i="6"/>
  <c r="M23" i="6"/>
  <c r="C23" i="6"/>
  <c r="F23" i="6" s="1"/>
  <c r="H23" i="6" s="1"/>
  <c r="N22" i="6"/>
  <c r="M22" i="6"/>
  <c r="P22" i="6" s="1"/>
  <c r="R22" i="6" s="1"/>
  <c r="C22" i="6"/>
  <c r="E22" i="6" s="1"/>
  <c r="U21" i="6"/>
  <c r="X21" i="6" s="1"/>
  <c r="Z21" i="6" s="1"/>
  <c r="N21" i="6"/>
  <c r="M21" i="6"/>
  <c r="P21" i="6" s="1"/>
  <c r="R21" i="6" s="1"/>
  <c r="U20" i="6"/>
  <c r="W20" i="6" s="1"/>
  <c r="N20" i="6"/>
  <c r="M20" i="6"/>
  <c r="C20" i="6"/>
  <c r="F20" i="6" s="1"/>
  <c r="H20" i="6" s="1"/>
  <c r="U19" i="6"/>
  <c r="X19" i="6" s="1"/>
  <c r="Z19" i="6" s="1"/>
  <c r="N19" i="6"/>
  <c r="M19" i="6"/>
  <c r="P19" i="6" s="1"/>
  <c r="R19" i="6" s="1"/>
  <c r="C19" i="6"/>
  <c r="F19" i="6" s="1"/>
  <c r="H19" i="6" s="1"/>
  <c r="U18" i="6"/>
  <c r="W18" i="6" s="1"/>
  <c r="N18" i="6"/>
  <c r="M18" i="6"/>
  <c r="P18" i="6" s="1"/>
  <c r="R18" i="6" s="1"/>
  <c r="F18" i="6"/>
  <c r="H18" i="6" s="1"/>
  <c r="C18" i="6"/>
  <c r="E18" i="6" s="1"/>
  <c r="C17" i="6"/>
  <c r="E17" i="6" s="1"/>
  <c r="U16" i="6"/>
  <c r="W16" i="6" s="1"/>
  <c r="N16" i="6"/>
  <c r="M16" i="6"/>
  <c r="C16" i="6"/>
  <c r="E16" i="6" s="1"/>
  <c r="C15" i="6"/>
  <c r="E15" i="6" s="1"/>
  <c r="C14" i="6"/>
  <c r="E14" i="6" s="1"/>
  <c r="C13" i="6"/>
  <c r="E13" i="6" s="1"/>
  <c r="U12" i="6"/>
  <c r="W12" i="6" s="1"/>
  <c r="N12" i="6"/>
  <c r="M12" i="6"/>
  <c r="P12" i="6" s="1"/>
  <c r="R12" i="6" s="1"/>
  <c r="N11" i="6"/>
  <c r="M11" i="6"/>
  <c r="C11" i="6"/>
  <c r="F11" i="6" s="1"/>
  <c r="H11" i="6" s="1"/>
  <c r="U10" i="6"/>
  <c r="X10" i="6" s="1"/>
  <c r="Z10" i="6" s="1"/>
  <c r="N10" i="6"/>
  <c r="M10" i="6"/>
  <c r="P10" i="6" s="1"/>
  <c r="R10" i="6" s="1"/>
  <c r="F10" i="6"/>
  <c r="H10" i="6" s="1"/>
  <c r="E10" i="6"/>
  <c r="C10" i="6"/>
  <c r="U9" i="6"/>
  <c r="X9" i="6" s="1"/>
  <c r="Z9" i="6" s="1"/>
  <c r="N9" i="6"/>
  <c r="M9" i="6"/>
  <c r="P9" i="6" s="1"/>
  <c r="R9" i="6" s="1"/>
  <c r="C9" i="6"/>
  <c r="E9" i="6" s="1"/>
  <c r="C8" i="6"/>
  <c r="E8" i="6" s="1"/>
  <c r="X7" i="6"/>
  <c r="Z7" i="6" s="1"/>
  <c r="W7" i="6"/>
  <c r="N7" i="6"/>
  <c r="M7" i="6"/>
  <c r="P7" i="6" s="1"/>
  <c r="R7" i="6" s="1"/>
  <c r="F7" i="6"/>
  <c r="C7" i="6"/>
  <c r="E7" i="6" s="1"/>
  <c r="C6" i="6"/>
  <c r="E6" i="6" s="1"/>
  <c r="X5" i="6"/>
  <c r="Z5" i="6" s="1"/>
  <c r="W5" i="6"/>
  <c r="N5" i="6"/>
  <c r="M5" i="6"/>
  <c r="P5" i="6" s="1"/>
  <c r="R5" i="6" s="1"/>
  <c r="C5" i="6"/>
  <c r="E5" i="6" s="1"/>
  <c r="U4" i="6"/>
  <c r="W4" i="6" s="1"/>
  <c r="N4" i="6"/>
  <c r="M4" i="6"/>
  <c r="C4" i="6"/>
  <c r="E4" i="6" s="1"/>
  <c r="U3" i="6"/>
  <c r="W3" i="6" s="1"/>
  <c r="N3" i="6"/>
  <c r="M3" i="6"/>
  <c r="P3" i="6" s="1"/>
  <c r="R3" i="6" s="1"/>
  <c r="C3" i="6"/>
  <c r="F3" i="6" s="1"/>
  <c r="H3" i="6" s="1"/>
  <c r="E3" i="10" l="1"/>
  <c r="E23" i="9"/>
  <c r="E25" i="9"/>
  <c r="E29" i="9"/>
  <c r="E22" i="9"/>
  <c r="E20" i="9"/>
  <c r="F22" i="9"/>
  <c r="H22" i="9" s="1"/>
  <c r="H30" i="10"/>
  <c r="W9" i="6"/>
  <c r="O19" i="6"/>
  <c r="P32" i="6"/>
  <c r="R32" i="6" s="1"/>
  <c r="O5" i="6"/>
  <c r="E3" i="9"/>
  <c r="E27" i="9"/>
  <c r="F23" i="9"/>
  <c r="H23" i="9" s="1"/>
  <c r="E4" i="9"/>
  <c r="E12" i="9"/>
  <c r="F32" i="9"/>
  <c r="H32" i="9" s="1"/>
  <c r="E11" i="9"/>
  <c r="E19" i="9"/>
  <c r="E24" i="9"/>
  <c r="E28" i="9"/>
  <c r="E34" i="9"/>
  <c r="E10" i="9"/>
  <c r="E18" i="9"/>
  <c r="E21" i="9"/>
  <c r="E26" i="9"/>
  <c r="F33" i="9"/>
  <c r="H33" i="9" s="1"/>
  <c r="E5" i="9"/>
  <c r="E9" i="9"/>
  <c r="E16" i="9"/>
  <c r="F7" i="9"/>
  <c r="H7" i="9" s="1"/>
  <c r="H30" i="9" s="1"/>
  <c r="F21" i="9"/>
  <c r="H21" i="9" s="1"/>
  <c r="F25" i="9"/>
  <c r="H25" i="9" s="1"/>
  <c r="F29" i="9"/>
  <c r="H29" i="9" s="1"/>
  <c r="X16" i="6"/>
  <c r="Z16" i="6" s="1"/>
  <c r="O22" i="6"/>
  <c r="E19" i="6"/>
  <c r="O26" i="6"/>
  <c r="F8" i="6"/>
  <c r="H8" i="6" s="1"/>
  <c r="O9" i="6"/>
  <c r="F13" i="6"/>
  <c r="H13" i="6" s="1"/>
  <c r="F25" i="6"/>
  <c r="H25" i="6" s="1"/>
  <c r="O34" i="6"/>
  <c r="O7" i="6"/>
  <c r="O18" i="6"/>
  <c r="X18" i="6"/>
  <c r="Z18" i="6" s="1"/>
  <c r="F22" i="6"/>
  <c r="H22" i="6" s="1"/>
  <c r="O25" i="6"/>
  <c r="X25" i="6"/>
  <c r="Z25" i="6" s="1"/>
  <c r="O4" i="6"/>
  <c r="X4" i="6"/>
  <c r="Z4" i="6" s="1"/>
  <c r="O16" i="6"/>
  <c r="O20" i="6"/>
  <c r="O23" i="6"/>
  <c r="O24" i="6"/>
  <c r="O27" i="6"/>
  <c r="O28" i="6"/>
  <c r="P4" i="6"/>
  <c r="R4" i="6" s="1"/>
  <c r="F5" i="6"/>
  <c r="H5" i="6" s="1"/>
  <c r="H30" i="6" s="1"/>
  <c r="F6" i="6"/>
  <c r="H6" i="6" s="1"/>
  <c r="F9" i="6"/>
  <c r="H9" i="6" s="1"/>
  <c r="O10" i="6"/>
  <c r="O11" i="6"/>
  <c r="O12" i="6"/>
  <c r="X12" i="6"/>
  <c r="Z12" i="6" s="1"/>
  <c r="P16" i="6"/>
  <c r="R16" i="6" s="1"/>
  <c r="F17" i="6"/>
  <c r="H17" i="6" s="1"/>
  <c r="O21" i="6"/>
  <c r="P24" i="6"/>
  <c r="R24" i="6" s="1"/>
  <c r="P28" i="6"/>
  <c r="R28" i="6" s="1"/>
  <c r="O29" i="6"/>
  <c r="X29" i="6"/>
  <c r="Z29" i="6" s="1"/>
  <c r="P33" i="6"/>
  <c r="R33" i="6" s="1"/>
  <c r="E3" i="6"/>
  <c r="O3" i="6"/>
  <c r="X3" i="6"/>
  <c r="Z3" i="6" s="1"/>
  <c r="F4" i="6"/>
  <c r="H4" i="6" s="1"/>
  <c r="P11" i="6"/>
  <c r="R11" i="6" s="1"/>
  <c r="F14" i="6"/>
  <c r="H14" i="6" s="1"/>
  <c r="F15" i="6"/>
  <c r="H15" i="6" s="1"/>
  <c r="F16" i="6"/>
  <c r="H16" i="6" s="1"/>
  <c r="P20" i="6"/>
  <c r="R20" i="6" s="1"/>
  <c r="X20" i="6"/>
  <c r="Z20" i="6" s="1"/>
  <c r="P23" i="6"/>
  <c r="R23" i="6" s="1"/>
  <c r="P27" i="6"/>
  <c r="R27" i="6" s="1"/>
  <c r="X27" i="6"/>
  <c r="Z27" i="6" s="1"/>
  <c r="F28" i="6"/>
  <c r="H28" i="6" s="1"/>
  <c r="F29" i="6"/>
  <c r="H29" i="6" s="1"/>
  <c r="W10" i="6"/>
  <c r="E11" i="6"/>
  <c r="W19" i="6"/>
  <c r="E20" i="6"/>
  <c r="W21" i="6"/>
  <c r="E23" i="6"/>
  <c r="L37" i="2"/>
  <c r="K36" i="2"/>
  <c r="Y35" i="2"/>
  <c r="X35" i="2"/>
  <c r="R35" i="2"/>
  <c r="Q35" i="2"/>
  <c r="T35" i="2" s="1"/>
  <c r="X34" i="2"/>
  <c r="R34" i="2"/>
  <c r="Q34" i="2"/>
  <c r="X30" i="2"/>
  <c r="R30" i="2"/>
  <c r="Q30" i="2"/>
  <c r="X28" i="2"/>
  <c r="R28" i="2"/>
  <c r="Q28" i="2"/>
  <c r="X27" i="2"/>
  <c r="R27" i="2"/>
  <c r="Q27" i="2"/>
  <c r="Y31" i="2"/>
  <c r="X31" i="2"/>
  <c r="R31" i="2"/>
  <c r="Q31" i="2"/>
  <c r="X26" i="2"/>
  <c r="R26" i="2"/>
  <c r="Q26" i="2"/>
  <c r="Y20" i="2"/>
  <c r="X20" i="2"/>
  <c r="R20" i="2"/>
  <c r="Q20" i="2"/>
  <c r="Y25" i="2"/>
  <c r="X25" i="2"/>
  <c r="R25" i="2"/>
  <c r="Q25" i="2"/>
  <c r="X24" i="2"/>
  <c r="R24" i="2"/>
  <c r="Q24" i="2"/>
  <c r="X21" i="2"/>
  <c r="R21" i="2"/>
  <c r="Q21" i="2"/>
  <c r="X18" i="2"/>
  <c r="R18" i="2"/>
  <c r="Q18" i="2"/>
  <c r="X16" i="2"/>
  <c r="R16" i="2"/>
  <c r="Q16" i="2"/>
  <c r="X13" i="2"/>
  <c r="Q13" i="2"/>
  <c r="X10" i="2"/>
  <c r="AA10" i="2" s="1"/>
  <c r="AC10" i="2" s="1"/>
  <c r="R10" i="2"/>
  <c r="Q10" i="2"/>
  <c r="T10" i="2" s="1"/>
  <c r="V10" i="2" s="1"/>
  <c r="Z10" i="2"/>
  <c r="X9" i="2"/>
  <c r="R9" i="2"/>
  <c r="Q9" i="2"/>
  <c r="X7" i="2"/>
  <c r="R7" i="2"/>
  <c r="Q7" i="2"/>
  <c r="X8" i="2"/>
  <c r="AA8" i="2" s="1"/>
  <c r="AC8" i="2" s="1"/>
  <c r="R8" i="2"/>
  <c r="Q8" i="2"/>
  <c r="T8" i="2" s="1"/>
  <c r="V8" i="2" s="1"/>
  <c r="X5" i="2"/>
  <c r="R5" i="2"/>
  <c r="T4" i="2"/>
  <c r="Q5" i="2"/>
  <c r="D29" i="2"/>
  <c r="D14" i="2"/>
  <c r="S5" i="2" l="1"/>
  <c r="S8" i="2"/>
  <c r="Z8" i="2"/>
  <c r="T5" i="2"/>
  <c r="V5" i="2" s="1"/>
  <c r="S10" i="2"/>
  <c r="S35" i="2"/>
  <c r="B28" i="2"/>
  <c r="D28" i="2" s="1"/>
  <c r="I27" i="2"/>
  <c r="L27" i="2" s="1"/>
  <c r="N27" i="2" s="1"/>
  <c r="B27" i="2"/>
  <c r="D27" i="2" s="1"/>
  <c r="B30" i="2"/>
  <c r="I30" i="2"/>
  <c r="B31" i="2"/>
  <c r="E31" i="2" s="1"/>
  <c r="G31" i="2" s="1"/>
  <c r="I31" i="2"/>
  <c r="K31" i="2" s="1"/>
  <c r="I23" i="2"/>
  <c r="L23" i="2" s="1"/>
  <c r="N23" i="2" s="1"/>
  <c r="B23" i="2"/>
  <c r="E23" i="2" s="1"/>
  <c r="G23" i="2" s="1"/>
  <c r="D23" i="2"/>
  <c r="B26" i="2"/>
  <c r="E26" i="2" s="1"/>
  <c r="G26" i="2" s="1"/>
  <c r="J26" i="2"/>
  <c r="I26" i="2"/>
  <c r="J25" i="2"/>
  <c r="I25" i="2"/>
  <c r="K25" i="2" s="1"/>
  <c r="B25" i="2"/>
  <c r="D25" i="2" s="1"/>
  <c r="B24" i="2"/>
  <c r="E24" i="2" s="1"/>
  <c r="G24" i="2" s="1"/>
  <c r="J24" i="2"/>
  <c r="I24" i="2"/>
  <c r="L24" i="2" s="1"/>
  <c r="N24" i="2" s="1"/>
  <c r="B21" i="2"/>
  <c r="D21" i="2" s="1"/>
  <c r="I21" i="2"/>
  <c r="I20" i="2"/>
  <c r="L20" i="2" s="1"/>
  <c r="N20" i="2" s="1"/>
  <c r="B20" i="2"/>
  <c r="B18" i="2"/>
  <c r="E18" i="2" s="1"/>
  <c r="G18" i="2" s="1"/>
  <c r="I18" i="2"/>
  <c r="K18" i="2" s="1"/>
  <c r="I17" i="2"/>
  <c r="B17" i="2"/>
  <c r="I16" i="2"/>
  <c r="L16" i="2" s="1"/>
  <c r="N16" i="2" s="1"/>
  <c r="B16" i="2"/>
  <c r="I13" i="2"/>
  <c r="L13" i="2" s="1"/>
  <c r="N13" i="2" s="1"/>
  <c r="B13" i="2"/>
  <c r="D13" i="2" s="1"/>
  <c r="I15" i="2"/>
  <c r="L15" i="2" s="1"/>
  <c r="N15" i="2" s="1"/>
  <c r="B15" i="2"/>
  <c r="I12" i="2"/>
  <c r="L12" i="2" s="1"/>
  <c r="N12" i="2" s="1"/>
  <c r="B12" i="2"/>
  <c r="D12" i="2" s="1"/>
  <c r="I11" i="2"/>
  <c r="K11" i="2" s="1"/>
  <c r="B11" i="2"/>
  <c r="I9" i="2"/>
  <c r="K9" i="2" s="1"/>
  <c r="B9" i="2"/>
  <c r="E9" i="2" s="1"/>
  <c r="G9" i="2" s="1"/>
  <c r="I7" i="2"/>
  <c r="L7" i="2" s="1"/>
  <c r="N7" i="2" s="1"/>
  <c r="B7" i="2"/>
  <c r="I8" i="2"/>
  <c r="L8" i="2" s="1"/>
  <c r="N8" i="2" s="1"/>
  <c r="B8" i="2"/>
  <c r="D8" i="2" s="1"/>
  <c r="I6" i="2"/>
  <c r="L6" i="2" s="1"/>
  <c r="N6" i="2" s="1"/>
  <c r="B6" i="2"/>
  <c r="D6" i="2" s="1"/>
  <c r="B4" i="2"/>
  <c r="D4" i="2" s="1"/>
  <c r="I5" i="2"/>
  <c r="K5" i="2" s="1"/>
  <c r="B5" i="2"/>
  <c r="D5" i="2" s="1"/>
  <c r="AA36" i="2"/>
  <c r="AC36" i="2" s="1"/>
  <c r="Z36" i="2"/>
  <c r="V36" i="2"/>
  <c r="AA35" i="2"/>
  <c r="AC35" i="2" s="1"/>
  <c r="Z35" i="2"/>
  <c r="V35" i="2"/>
  <c r="AA34" i="2"/>
  <c r="AC34" i="2" s="1"/>
  <c r="Z34" i="2"/>
  <c r="T34" i="2"/>
  <c r="V34" i="2" s="1"/>
  <c r="AA33" i="2"/>
  <c r="AC33" i="2" s="1"/>
  <c r="T33" i="2"/>
  <c r="V33" i="2" s="1"/>
  <c r="AA32" i="2"/>
  <c r="AC32" i="2" s="1"/>
  <c r="T32" i="2"/>
  <c r="V32" i="2" s="1"/>
  <c r="L32" i="2"/>
  <c r="N32" i="2" s="1"/>
  <c r="E32" i="2"/>
  <c r="G32" i="2" s="1"/>
  <c r="AA31" i="2"/>
  <c r="AC31" i="2" s="1"/>
  <c r="T31" i="2"/>
  <c r="V31" i="2" s="1"/>
  <c r="D31" i="2"/>
  <c r="AA30" i="2"/>
  <c r="AC30" i="2" s="1"/>
  <c r="Z30" i="2"/>
  <c r="T29" i="2"/>
  <c r="V29" i="2" s="1"/>
  <c r="L29" i="2"/>
  <c r="N29" i="2" s="1"/>
  <c r="E29" i="2"/>
  <c r="G29" i="2" s="1"/>
  <c r="AA28" i="2"/>
  <c r="AC28" i="2" s="1"/>
  <c r="Z28" i="2"/>
  <c r="T28" i="2"/>
  <c r="V28" i="2" s="1"/>
  <c r="K28" i="2"/>
  <c r="L28" i="2"/>
  <c r="N28" i="2" s="1"/>
  <c r="E28" i="2"/>
  <c r="G28" i="2" s="1"/>
  <c r="Z27" i="2"/>
  <c r="AA27" i="2"/>
  <c r="AC27" i="2" s="1"/>
  <c r="T27" i="2"/>
  <c r="V27" i="2" s="1"/>
  <c r="S27" i="2"/>
  <c r="K27" i="2"/>
  <c r="E27" i="2"/>
  <c r="G27" i="2" s="1"/>
  <c r="AA26" i="2"/>
  <c r="AC26" i="2" s="1"/>
  <c r="Z26" i="2"/>
  <c r="T26" i="2"/>
  <c r="V26" i="2" s="1"/>
  <c r="S26" i="2"/>
  <c r="L26" i="2"/>
  <c r="N26" i="2" s="1"/>
  <c r="AA25" i="2"/>
  <c r="AC25" i="2" s="1"/>
  <c r="Z25" i="2"/>
  <c r="T25" i="2"/>
  <c r="V25" i="2" s="1"/>
  <c r="S25" i="2"/>
  <c r="AA24" i="2"/>
  <c r="AC24" i="2" s="1"/>
  <c r="Z24" i="2"/>
  <c r="T24" i="2"/>
  <c r="V24" i="2" s="1"/>
  <c r="D24" i="2"/>
  <c r="AA23" i="2"/>
  <c r="AC23" i="2" s="1"/>
  <c r="Z23" i="2"/>
  <c r="T23" i="2"/>
  <c r="V23" i="2" s="1"/>
  <c r="S23" i="2"/>
  <c r="AA22" i="2"/>
  <c r="AC22" i="2" s="1"/>
  <c r="Z22" i="2"/>
  <c r="T22" i="2"/>
  <c r="V22" i="2" s="1"/>
  <c r="S22" i="2"/>
  <c r="L22" i="2"/>
  <c r="N22" i="2" s="1"/>
  <c r="K22" i="2"/>
  <c r="E22" i="2"/>
  <c r="G22" i="2" s="1"/>
  <c r="D22" i="2"/>
  <c r="AA21" i="2"/>
  <c r="AC21" i="2" s="1"/>
  <c r="Z21" i="2"/>
  <c r="T21" i="2"/>
  <c r="V21" i="2" s="1"/>
  <c r="S21" i="2"/>
  <c r="L21" i="2"/>
  <c r="N21" i="2" s="1"/>
  <c r="K21" i="2"/>
  <c r="E21" i="2"/>
  <c r="G21" i="2" s="1"/>
  <c r="AA20" i="2"/>
  <c r="AC20" i="2" s="1"/>
  <c r="Z20" i="2"/>
  <c r="T20" i="2"/>
  <c r="V20" i="2" s="1"/>
  <c r="K20" i="2"/>
  <c r="AA19" i="2"/>
  <c r="AC19" i="2" s="1"/>
  <c r="Z19" i="2"/>
  <c r="T19" i="2"/>
  <c r="V19" i="2" s="1"/>
  <c r="S19" i="2"/>
  <c r="L19" i="2"/>
  <c r="N19" i="2" s="1"/>
  <c r="K19" i="2"/>
  <c r="D19" i="2"/>
  <c r="E19" i="2"/>
  <c r="G19" i="2" s="1"/>
  <c r="Z18" i="2"/>
  <c r="AA18" i="2"/>
  <c r="AC18" i="2" s="1"/>
  <c r="T18" i="2"/>
  <c r="V18" i="2" s="1"/>
  <c r="S18" i="2"/>
  <c r="L18" i="2"/>
  <c r="N18" i="2" s="1"/>
  <c r="AA17" i="2"/>
  <c r="AC17" i="2" s="1"/>
  <c r="Z17" i="2"/>
  <c r="T17" i="2"/>
  <c r="V17" i="2" s="1"/>
  <c r="S17" i="2"/>
  <c r="AA16" i="2"/>
  <c r="AC16" i="2" s="1"/>
  <c r="Z16" i="2"/>
  <c r="T16" i="2"/>
  <c r="V16" i="2" s="1"/>
  <c r="S16" i="2"/>
  <c r="K16" i="2"/>
  <c r="E16" i="2"/>
  <c r="G16" i="2" s="1"/>
  <c r="D16" i="2"/>
  <c r="AA15" i="2"/>
  <c r="AC15" i="2" s="1"/>
  <c r="Z15" i="2"/>
  <c r="T15" i="2"/>
  <c r="V15" i="2" s="1"/>
  <c r="S15" i="2"/>
  <c r="E15" i="2"/>
  <c r="G15" i="2" s="1"/>
  <c r="AA14" i="2"/>
  <c r="AC14" i="2" s="1"/>
  <c r="Z14" i="2"/>
  <c r="L14" i="2"/>
  <c r="N14" i="2" s="1"/>
  <c r="E14" i="2"/>
  <c r="G14" i="2" s="1"/>
  <c r="AA13" i="2"/>
  <c r="AC13" i="2" s="1"/>
  <c r="Z13" i="2"/>
  <c r="E13" i="2"/>
  <c r="G13" i="2" s="1"/>
  <c r="AA12" i="2"/>
  <c r="AC12" i="2" s="1"/>
  <c r="Z12" i="2"/>
  <c r="AA11" i="2"/>
  <c r="AC11" i="2" s="1"/>
  <c r="Z11" i="2"/>
  <c r="L11" i="2"/>
  <c r="N11" i="2" s="1"/>
  <c r="AA9" i="2"/>
  <c r="AC9" i="2" s="1"/>
  <c r="Z9" i="2"/>
  <c r="T9" i="2"/>
  <c r="V9" i="2" s="1"/>
  <c r="S9" i="2"/>
  <c r="L9" i="2"/>
  <c r="N9" i="2" s="1"/>
  <c r="AA7" i="2"/>
  <c r="AC7" i="2" s="1"/>
  <c r="Z7" i="2"/>
  <c r="T7" i="2"/>
  <c r="V7" i="2" s="1"/>
  <c r="S7" i="2"/>
  <c r="K7" i="2"/>
  <c r="E7" i="2"/>
  <c r="G7" i="2" s="1"/>
  <c r="AA6" i="2"/>
  <c r="AC6" i="2" s="1"/>
  <c r="Z6" i="2"/>
  <c r="T6" i="2"/>
  <c r="V6" i="2" s="1"/>
  <c r="S6" i="2"/>
  <c r="AA5" i="2"/>
  <c r="AC5" i="2" s="1"/>
  <c r="Z5" i="2"/>
  <c r="AA4" i="2"/>
  <c r="AC4" i="2" s="1"/>
  <c r="Z4" i="2"/>
  <c r="V4" i="2"/>
  <c r="S4" i="2"/>
  <c r="L4" i="2"/>
  <c r="N4" i="2" s="1"/>
  <c r="K4" i="2"/>
  <c r="D18" i="2" l="1"/>
  <c r="K6" i="2"/>
  <c r="K15" i="2"/>
  <c r="E5" i="2"/>
  <c r="G5" i="2" s="1"/>
  <c r="L5" i="2"/>
  <c r="N5" i="2" s="1"/>
  <c r="E25" i="2"/>
  <c r="G25" i="2" s="1"/>
  <c r="K26" i="2"/>
  <c r="D9" i="2"/>
  <c r="L25" i="2"/>
  <c r="N25" i="2" s="1"/>
  <c r="E8" i="2"/>
  <c r="G8" i="2" s="1"/>
  <c r="E12" i="2"/>
  <c r="G12" i="2" s="1"/>
  <c r="K8" i="2"/>
  <c r="L31" i="2"/>
  <c r="N31" i="2" s="1"/>
  <c r="K24" i="2"/>
  <c r="D26" i="2"/>
  <c r="K23" i="2"/>
  <c r="E6" i="2"/>
  <c r="G6" i="2" s="1"/>
  <c r="E11" i="2"/>
  <c r="G11" i="2" s="1"/>
  <c r="D11" i="2"/>
  <c r="K12" i="2"/>
  <c r="E4" i="2"/>
  <c r="G4" i="2" s="1"/>
  <c r="T12" i="2"/>
  <c r="V12" i="2" s="1"/>
  <c r="S12" i="2"/>
  <c r="K13" i="2"/>
  <c r="L17" i="2"/>
  <c r="N17" i="2" s="1"/>
  <c r="K17" i="2"/>
  <c r="E20" i="2"/>
  <c r="G20" i="2" s="1"/>
  <c r="D20" i="2"/>
  <c r="S30" i="2"/>
  <c r="T30" i="2"/>
  <c r="V30" i="2" s="1"/>
  <c r="T13" i="2"/>
  <c r="V13" i="2" s="1"/>
  <c r="S13" i="2"/>
  <c r="T14" i="2"/>
  <c r="V14" i="2" s="1"/>
  <c r="S14" i="2"/>
  <c r="AA29" i="2"/>
  <c r="AC29" i="2" s="1"/>
  <c r="Z29" i="2"/>
  <c r="E17" i="2"/>
  <c r="G17" i="2" s="1"/>
  <c r="D17" i="2"/>
  <c r="E30" i="2"/>
  <c r="G30" i="2" s="1"/>
  <c r="D30" i="2"/>
  <c r="D7" i="2"/>
  <c r="T11" i="2"/>
  <c r="V11" i="2" s="1"/>
  <c r="S11" i="2"/>
  <c r="D15" i="2"/>
  <c r="L30" i="2"/>
  <c r="N30" i="2" s="1"/>
  <c r="K30" i="2"/>
  <c r="S28" i="2"/>
  <c r="S29" i="2"/>
  <c r="S31" i="2"/>
  <c r="Z31" i="2"/>
  <c r="S34" i="2"/>
  <c r="S20" i="2"/>
  <c r="S24" i="2"/>
  <c r="F14" i="1"/>
  <c r="H14" i="1" s="1"/>
  <c r="F22" i="1"/>
  <c r="H22" i="1" s="1"/>
  <c r="F29" i="1"/>
  <c r="H29" i="1" s="1"/>
  <c r="C28" i="1"/>
  <c r="F28" i="1" s="1"/>
  <c r="H28" i="1" s="1"/>
  <c r="C26" i="1"/>
  <c r="F26" i="1" s="1"/>
  <c r="H26" i="1" s="1"/>
  <c r="C25" i="1"/>
  <c r="F25" i="1" s="1"/>
  <c r="H25" i="1" s="1"/>
  <c r="C23" i="1"/>
  <c r="E23" i="1" s="1"/>
  <c r="E29" i="1"/>
  <c r="C20" i="1"/>
  <c r="E20" i="1" s="1"/>
  <c r="C19" i="1"/>
  <c r="F19" i="1" s="1"/>
  <c r="H19" i="1" s="1"/>
  <c r="C18" i="1"/>
  <c r="F18" i="1" s="1"/>
  <c r="H18" i="1" s="1"/>
  <c r="C17" i="1"/>
  <c r="F17" i="1" s="1"/>
  <c r="H17" i="1" s="1"/>
  <c r="C16" i="1"/>
  <c r="F16" i="1" s="1"/>
  <c r="H16" i="1" s="1"/>
  <c r="C15" i="1"/>
  <c r="F15" i="1" s="1"/>
  <c r="H15" i="1" s="1"/>
  <c r="C13" i="1"/>
  <c r="F13" i="1" s="1"/>
  <c r="H13" i="1" s="1"/>
  <c r="C11" i="1"/>
  <c r="E11" i="1" s="1"/>
  <c r="C10" i="1"/>
  <c r="E10" i="1" s="1"/>
  <c r="C9" i="1"/>
  <c r="F9" i="1" s="1"/>
  <c r="H9" i="1" s="1"/>
  <c r="C8" i="1"/>
  <c r="F8" i="1" s="1"/>
  <c r="H8" i="1" s="1"/>
  <c r="C7" i="1"/>
  <c r="E7" i="1" s="1"/>
  <c r="C6" i="1"/>
  <c r="E6" i="1" s="1"/>
  <c r="C5" i="1"/>
  <c r="F5" i="1" s="1"/>
  <c r="H5" i="1" s="1"/>
  <c r="C4" i="1"/>
  <c r="E4" i="1" s="1"/>
  <c r="E14" i="1"/>
  <c r="E22" i="1"/>
  <c r="C3" i="1"/>
  <c r="E3" i="1" s="1"/>
  <c r="E19" i="1" l="1"/>
  <c r="E8" i="1"/>
  <c r="E16" i="1"/>
  <c r="E18" i="1"/>
  <c r="E9" i="1"/>
  <c r="E15" i="1"/>
  <c r="E17" i="1"/>
  <c r="E26" i="1"/>
  <c r="E5" i="1"/>
  <c r="E13" i="1"/>
  <c r="E25" i="1"/>
  <c r="F3" i="1"/>
  <c r="H3" i="1" s="1"/>
  <c r="F23" i="1"/>
  <c r="H23" i="1" s="1"/>
  <c r="F11" i="1"/>
  <c r="H11" i="1" s="1"/>
  <c r="F7" i="1"/>
  <c r="H7" i="1" s="1"/>
  <c r="E28" i="1"/>
  <c r="F10" i="1"/>
  <c r="H10" i="1" s="1"/>
  <c r="F6" i="1"/>
  <c r="H6" i="1" s="1"/>
  <c r="F20" i="1"/>
  <c r="H20" i="1" s="1"/>
  <c r="F4" i="1"/>
  <c r="H4" i="1" s="1"/>
</calcChain>
</file>

<file path=xl/sharedStrings.xml><?xml version="1.0" encoding="utf-8"?>
<sst xmlns="http://schemas.openxmlformats.org/spreadsheetml/2006/main" count="556" uniqueCount="179">
  <si>
    <t>XD</t>
  </si>
  <si>
    <t>CĐT</t>
  </si>
  <si>
    <t>Phần II (trừ môn chung)</t>
  </si>
  <si>
    <t>Toàn chương trình</t>
  </si>
  <si>
    <t>CNKT Đ-ĐT</t>
  </si>
  <si>
    <t>CNKT ĐKTĐH</t>
  </si>
  <si>
    <t>ĐCN</t>
  </si>
  <si>
    <t>CNKT NHIỆT</t>
  </si>
  <si>
    <t>KTMLĐHKK</t>
  </si>
  <si>
    <t>VHSCTBL</t>
  </si>
  <si>
    <t>CNKT CƠ KHÍ</t>
  </si>
  <si>
    <t>CTM</t>
  </si>
  <si>
    <t>CGKL</t>
  </si>
  <si>
    <t>BTHTTBCN</t>
  </si>
  <si>
    <t>CNÔ</t>
  </si>
  <si>
    <t>TMĐT</t>
  </si>
  <si>
    <t>QTMMT</t>
  </si>
  <si>
    <t>CNKTMT</t>
  </si>
  <si>
    <t>TKĐH</t>
  </si>
  <si>
    <t>LTMT</t>
  </si>
  <si>
    <t>THUD</t>
  </si>
  <si>
    <t>KTD</t>
  </si>
  <si>
    <t>QTD</t>
  </si>
  <si>
    <t>TA</t>
  </si>
  <si>
    <t>CNM</t>
  </si>
  <si>
    <t>CĐ</t>
  </si>
  <si>
    <t>CKCT</t>
  </si>
  <si>
    <t>Tài chính dn</t>
  </si>
  <si>
    <t>ANM</t>
  </si>
  <si>
    <t>TKW</t>
  </si>
  <si>
    <t>TC</t>
  </si>
  <si>
    <t>Tổng cộng</t>
  </si>
  <si>
    <t>cđ</t>
  </si>
  <si>
    <t>tc</t>
  </si>
  <si>
    <t>T2</t>
  </si>
  <si>
    <t>Chung (9+3 không tính môn văn hóa)</t>
  </si>
  <si>
    <t>Thống kê</t>
  </si>
  <si>
    <t>Trừ phần môn chung (từ II)</t>
  </si>
  <si>
    <t>ĐTCN</t>
  </si>
  <si>
    <t>13/23 NGÀNH</t>
  </si>
  <si>
    <t>23/23 NGÀNH</t>
  </si>
  <si>
    <t>Phần III (trừ môn chung)</t>
  </si>
  <si>
    <t>LĐTBL</t>
  </si>
  <si>
    <t>16/19 NGÀNH</t>
  </si>
  <si>
    <t>19/19 NGÀNH</t>
  </si>
  <si>
    <t>khác (t2)</t>
  </si>
  <si>
    <t>29/42</t>
  </si>
  <si>
    <t># 69 %</t>
  </si>
  <si>
    <t>42/42</t>
  </si>
  <si>
    <t>#100%</t>
  </si>
  <si>
    <t>TRÌNH ĐỘ CAO ĐẲNG</t>
  </si>
  <si>
    <t>TRÌNH ĐỘ TRUNG CẤP</t>
  </si>
  <si>
    <t>Tên ngành</t>
  </si>
  <si>
    <t>Số giờ tổng</t>
  </si>
  <si>
    <t>Đạt tỷ lệ</t>
  </si>
  <si>
    <t>Số giờ 40%</t>
  </si>
  <si>
    <t>Số giờ TTTN</t>
  </si>
  <si>
    <t>Số TC học tại DN</t>
  </si>
  <si>
    <t>Số giờ thực hành</t>
  </si>
  <si>
    <t>TCD</t>
  </si>
  <si>
    <t>6/12</t>
  </si>
  <si>
    <t>3/7</t>
  </si>
  <si>
    <t>4/8</t>
  </si>
  <si>
    <t>5/9</t>
  </si>
  <si>
    <t>5/10</t>
  </si>
  <si>
    <t>5/13</t>
  </si>
  <si>
    <t>7/22 chỉ T,hành
có 20 mô đun</t>
  </si>
  <si>
    <t>5/23 chỉ T,hành
có 18 mô đun</t>
  </si>
  <si>
    <t>6/24 chỉ T,hành
có 20 mô đun</t>
  </si>
  <si>
    <t>7/23 chỉ T,hành
có 16 mô đun</t>
  </si>
  <si>
    <t>6/24 chỉ T,hành
có 17 mô đun</t>
  </si>
  <si>
    <t>6/23 chỉ T,hành
có 19 mô đun</t>
  </si>
  <si>
    <t>3/4</t>
  </si>
  <si>
    <t>3/3</t>
  </si>
  <si>
    <t>2/3</t>
  </si>
  <si>
    <t>4/9</t>
  </si>
  <si>
    <t>3/6</t>
  </si>
  <si>
    <t>4/7</t>
  </si>
  <si>
    <t>5/8</t>
  </si>
  <si>
    <t>2/5</t>
  </si>
  <si>
    <t>11/17 chỉ T,hành
có 13 mô đun</t>
  </si>
  <si>
    <t>11/16 chỉ T,hành
có 14 mô đun</t>
  </si>
  <si>
    <t>12/17 chỉ T,hành
có 14 mô đun</t>
  </si>
  <si>
    <t>9/16 chỉ T,hành
có 10 mô đun</t>
  </si>
  <si>
    <t>9/16 chỉ T,hành
có 11 mô đun</t>
  </si>
  <si>
    <t>8/17 chỉ T,hành
có 11 mô đun</t>
  </si>
  <si>
    <t>6/17 chỉ T,hành
có 14 mô đun</t>
  </si>
  <si>
    <t>1/3</t>
  </si>
  <si>
    <t>1/2</t>
  </si>
  <si>
    <t>4/6</t>
  </si>
  <si>
    <t>5/6</t>
  </si>
  <si>
    <t>5/11 chỉ T,hành
có 10 mô đun</t>
  </si>
  <si>
    <t>TỔNG CỘNG</t>
  </si>
  <si>
    <t>TỔNG CỘNG:</t>
  </si>
  <si>
    <t>14/23 NGÀNH ĐẠT 60%</t>
  </si>
  <si>
    <t xml:space="preserve">21/23 NGÀNH ĐẠT 60% </t>
  </si>
  <si>
    <t>21/21 NGÀNH ĐẠT 60%</t>
  </si>
  <si>
    <t>CNÔ(T2)</t>
  </si>
  <si>
    <t>ĐCN (T5+6)</t>
  </si>
  <si>
    <t>ĐCN (T7)</t>
  </si>
  <si>
    <t>3/3 NGÀNH ĐẠT 60%</t>
  </si>
  <si>
    <t>16/21 NGÀNH ĐẠT 60%</t>
  </si>
  <si>
    <t>Tổng số % đạt tỷ lệ 60% của toàn khóa:</t>
  </si>
  <si>
    <t>Tổng số % đạt tỷ lệ 60% trừ môn học chung:</t>
  </si>
  <si>
    <t>Thống kê chương trình cao đẳng</t>
  </si>
  <si>
    <t>Tổng số % số chương trình T4 đạt tỷ lệ 60% toàn khóa:</t>
  </si>
  <si>
    <t>Tổng số % số chương trình T4+T2 đạt tỷ lệ 60% toàn khóa:</t>
  </si>
  <si>
    <t>Thống kê chương trình trung cấp</t>
  </si>
  <si>
    <t>Tổng số % số CTDT T4 đạt tỷ lệ 60% trừ văn hóa:</t>
  </si>
  <si>
    <t>Tổng số % số CTDT T4+T2 đạt tỷ lệ 60% trừ văn hóa:</t>
  </si>
  <si>
    <t>TỔNG SỐ CTDT (CĐ+TC) ĐẠT 60% TOÀN KHÓA:</t>
  </si>
  <si>
    <t>TỔNG SỐ CTDT (CĐ+TC) ĐẠT 60% TRỪ PHẦN CHUNG</t>
  </si>
  <si>
    <t>Kỹ thuật xây dựng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</si>
  <si>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</si>
  <si>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</si>
  <si>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</si>
  <si>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</si>
  <si>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</si>
  <si>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</si>
  <si>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</si>
  <si>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</si>
  <si>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Công nghệ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</si>
  <si>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</si>
  <si>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</si>
  <si>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</si>
  <si>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</si>
  <si>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</si>
  <si>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CNKT máy tính</t>
  </si>
  <si>
    <t>Thiết kế đồ họa</t>
  </si>
  <si>
    <t>An ninh mạng</t>
  </si>
  <si>
    <t>Lập trình máy tính</t>
  </si>
  <si>
    <t>Tin học ứng dụng</t>
  </si>
  <si>
    <t>Thiết kế Web</t>
  </si>
  <si>
    <t>Kế toán DN</t>
  </si>
  <si>
    <t>Quản trị DN</t>
  </si>
  <si>
    <t>Tài chính DN</t>
  </si>
  <si>
    <t>Tiếng Anh</t>
  </si>
  <si>
    <t>Công nghệ may</t>
  </si>
  <si>
    <t>TT</t>
  </si>
  <si>
    <t>Số giờ TH</t>
  </si>
  <si>
    <t>Tỷ lệ % TH</t>
  </si>
  <si>
    <t>Số môn TT/ số tín chỉ của HK4</t>
  </si>
  <si>
    <t>THỐNG KÊ TỶ LỆ % THỰC HÀNH TRỪ PHẦN MÔN HỌC CHUNG
TRÌNH ĐỘ CAO ĐẲNG - KHÓA 2018</t>
  </si>
  <si>
    <t>THỐNG KÊ TỶ LỆ % THỰC HÀNH TOÀN CHƯƠNG TRÌNH
TRÌNH ĐỘ CAO ĐẲNG - KHÓA 2018</t>
  </si>
  <si>
    <t>THỐNG KÊ TỶ LỆ % THỰC HÀNH TOÀN KHÓA
TRÌNH ĐỘ TRUNG CẤP - KHÓA 2018</t>
  </si>
  <si>
    <t>THỐNG KÊ TỶ LỆ % THỰC HÀNH TRỪ PHẦN MÔN HỌC CHUNG
TRÌNH ĐỘ TRUNG CẤP - KHÓA 2018</t>
  </si>
  <si>
    <t>CNKT Cơ khí</t>
  </si>
  <si>
    <t>5 mô đun/7 tín chỉ thực hành</t>
  </si>
  <si>
    <t>6 mô đun/6 tín chỉ thực hành</t>
  </si>
  <si>
    <t>5 mô đun/6 tín chỉ thực hành</t>
  </si>
  <si>
    <t>3/9</t>
  </si>
  <si>
    <t>2/6</t>
  </si>
  <si>
    <t>4/10</t>
  </si>
  <si>
    <t>2/8</t>
  </si>
  <si>
    <t>3/8</t>
  </si>
  <si>
    <r>
      <t xml:space="preserve">Số môn TH/ số tín chỉ TH của HK4
</t>
    </r>
    <r>
      <rPr>
        <i/>
        <sz val="12"/>
        <color theme="1"/>
        <rFont val="Times New Roman"/>
        <family val="1"/>
      </rPr>
      <t>(trừ TTTN)</t>
    </r>
  </si>
  <si>
    <t>4/11</t>
  </si>
  <si>
    <t>5/7</t>
  </si>
  <si>
    <t>5/11</t>
  </si>
  <si>
    <t>5/12</t>
  </si>
  <si>
    <t>CNKT phần cứng máy tính</t>
  </si>
  <si>
    <t>9 mô đun/11 tín chỉ thực hành</t>
  </si>
  <si>
    <t>9 mô đun/12 tín chỉ thực hành</t>
  </si>
  <si>
    <t>10 mô đun/11 tín chỉ thực hành</t>
  </si>
  <si>
    <t>6 mô đun/9 tín chỉ thực hành</t>
  </si>
  <si>
    <t>5 mô đun/8 tín chỉ thực hành</t>
  </si>
  <si>
    <t>Thiết kế trang Web</t>
  </si>
  <si>
    <t>7 mô đun/9 tín chỉ thực hành</t>
  </si>
  <si>
    <t>7/13</t>
  </si>
  <si>
    <r>
      <t xml:space="preserve">Số môn TH/ số tín chỉ TH của HK4,5,6
</t>
    </r>
    <r>
      <rPr>
        <i/>
        <sz val="12"/>
        <rFont val="Times New Roman"/>
        <family val="1"/>
      </rPr>
      <t>(trừ TTTN)</t>
    </r>
  </si>
  <si>
    <t>THỐNG KÊ SỐ MÔ ĐUN, MÔN HỌC THỰC HÀNH HỌC TẠI DOANH NGHIÊP
TRÌNH ĐỘ CAO ĐẲNG - KHÓA 2018</t>
  </si>
  <si>
    <t>Số mô đun, môn học TH toàn khóa</t>
  </si>
  <si>
    <t>Tỷ lệ 30% MĐ, TH</t>
  </si>
  <si>
    <t xml:space="preserve">23 NGÀNH </t>
  </si>
  <si>
    <t>3/10</t>
  </si>
  <si>
    <t>* Thống kê: 23 ngành (có 19 ngành đạt tỷ lệ 30% số mô đun, môn học thực hành học tại DN là 19/23 ngành (82,6%))</t>
  </si>
  <si>
    <t>THỐNG KÊ SỐ MÔ ĐUN, MÔN HỌC THỰC HÀNH HỌC TẠI DOANH NGHIÊP
TRÌNH ĐỘ TRUNG CẤP - KHÓA 2018</t>
  </si>
  <si>
    <t>21 NGÀNH</t>
  </si>
  <si>
    <t>* Thống kê: 21 ngành đạt tỷ lệ 30% số mô đun, môn học thực hành học tại DN là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</si>
</sst>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u val="double"/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u val="double"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5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5" fillId="0" borderId="2" xfId="0" applyFont="1" applyBorder="1" applyAlignment="1"/>
    <xf numFmtId="0" fontId="5" fillId="0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5" fillId="0" borderId="0" xfId="0" applyFont="1" applyBorder="1"/>
    <xf numFmtId="9" fontId="5" fillId="0" borderId="0" xfId="0" applyNumberFormat="1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/>
    </xf>
    <xf numFmtId="0" fontId="1" fillId="0" borderId="0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1" xfId="0" applyFont="1" applyBorder="1"/>
    <xf numFmtId="10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0" fontId="4" fillId="0" borderId="0" xfId="0" applyNumberFormat="1" applyFont="1" applyAlignment="1">
      <alignment vertical="center"/>
    </xf>
    <xf numFmtId="10" fontId="4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/>
    <xf numFmtId="10" fontId="5" fillId="0" borderId="0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9" fontId="10" fillId="0" borderId="0" xfId="0" applyNumberFormat="1" applyFont="1" applyAlignment="1">
      <alignment horizontal="center"/>
    </xf>
    <xf numFmtId="0" fontId="11" fillId="0" borderId="0" xfId="0" applyFont="1"/>
    <xf numFmtId="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7" fillId="9" borderId="1" xfId="0" quotePrefix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9" fillId="9" borderId="1" xfId="0" quotePrefix="1" applyFont="1" applyFill="1" applyBorder="1" applyAlignment="1">
      <alignment horizontal="center" vertical="center" wrapText="1"/>
    </xf>
    <xf numFmtId="0" fontId="8" fillId="9" borderId="1" xfId="0" quotePrefix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17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quotePrefix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17" fillId="9" borderId="1" xfId="0" quotePrefix="1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22" fillId="9" borderId="1" xfId="0" quotePrefix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23" fillId="0" borderId="0" xfId="0" applyFont="1"/>
    <xf numFmtId="0" fontId="10" fillId="0" borderId="6" xfId="0" applyFont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8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zoomScale="115" zoomScaleNormal="115" workbookViewId="0">
      <selection activeCell="I3" sqref="I3"/>
    </sheetView>
  </sheetViews>
  <sheetFormatPr defaultRowHeight="15" x14ac:dyDescent="0.25"/>
  <cols>
    <col min="1" max="1" width="3.5703125" style="3" customWidth="1"/>
    <col min="2" max="2" width="29.28515625" style="3" customWidth="1"/>
    <col min="3" max="7" width="9.140625" style="3" customWidth="1"/>
    <col min="8" max="8" width="9.140625" style="4" customWidth="1"/>
    <col min="9" max="9" width="12.42578125" style="4" customWidth="1"/>
    <col min="10" max="16384" width="9.140625" style="3"/>
  </cols>
  <sheetData>
    <row r="1" spans="1:9" s="2" customFormat="1" ht="45.75" customHeight="1" x14ac:dyDescent="0.25">
      <c r="A1" s="132" t="s">
        <v>143</v>
      </c>
      <c r="B1" s="132"/>
      <c r="C1" s="132"/>
      <c r="D1" s="132"/>
      <c r="E1" s="132"/>
      <c r="F1" s="132"/>
      <c r="G1" s="132"/>
      <c r="H1" s="132"/>
      <c r="I1" s="132"/>
    </row>
    <row r="2" spans="1:9" s="52" customFormat="1" ht="52.5" customHeight="1" x14ac:dyDescent="0.25">
      <c r="A2" s="81" t="s">
        <v>138</v>
      </c>
      <c r="B2" s="50" t="s">
        <v>52</v>
      </c>
      <c r="C2" s="50" t="s">
        <v>139</v>
      </c>
      <c r="D2" s="50" t="s">
        <v>53</v>
      </c>
      <c r="E2" s="50" t="s">
        <v>140</v>
      </c>
      <c r="F2" s="51" t="s">
        <v>55</v>
      </c>
      <c r="G2" s="51" t="s">
        <v>56</v>
      </c>
      <c r="H2" s="103" t="s">
        <v>57</v>
      </c>
      <c r="I2" s="106" t="s">
        <v>141</v>
      </c>
    </row>
    <row r="3" spans="1:9" s="52" customFormat="1" ht="23.25" customHeight="1" x14ac:dyDescent="0.25">
      <c r="A3" s="80">
        <v>1</v>
      </c>
      <c r="B3" s="82" t="s">
        <v>112</v>
      </c>
      <c r="C3" s="80">
        <f>930+52</f>
        <v>982</v>
      </c>
      <c r="D3" s="80">
        <v>1875</v>
      </c>
      <c r="E3" s="83">
        <f>ROUND(C3*100/D3,1)</f>
        <v>52.4</v>
      </c>
      <c r="F3" s="80">
        <f>C3*0.4</f>
        <v>392.8</v>
      </c>
      <c r="G3" s="80">
        <v>270</v>
      </c>
      <c r="H3" s="104">
        <f>ROUND((F3-G3)/30,0)</f>
        <v>4</v>
      </c>
      <c r="I3" s="107" t="s">
        <v>76</v>
      </c>
    </row>
    <row r="4" spans="1:9" s="52" customFormat="1" ht="23.25" customHeight="1" x14ac:dyDescent="0.25">
      <c r="A4" s="80">
        <v>2</v>
      </c>
      <c r="B4" s="82" t="s">
        <v>113</v>
      </c>
      <c r="C4" s="80">
        <f>1170+44</f>
        <v>1214</v>
      </c>
      <c r="D4" s="80">
        <v>1995</v>
      </c>
      <c r="E4" s="80">
        <f t="shared" ref="E4:E22" si="0">ROUND(C4*100/D4,1)</f>
        <v>60.9</v>
      </c>
      <c r="F4" s="80">
        <f t="shared" ref="F4:F29" si="1">C4*0.4</f>
        <v>485.6</v>
      </c>
      <c r="G4" s="80">
        <v>270</v>
      </c>
      <c r="H4" s="104">
        <f t="shared" ref="H4:H29" si="2">ROUND((F4-G4)/30,0)</f>
        <v>7</v>
      </c>
      <c r="I4" s="107" t="s">
        <v>60</v>
      </c>
    </row>
    <row r="5" spans="1:9" s="52" customFormat="1" ht="23.25" customHeight="1" x14ac:dyDescent="0.25">
      <c r="A5" s="80">
        <v>3</v>
      </c>
      <c r="B5" s="82" t="s">
        <v>114</v>
      </c>
      <c r="C5" s="80">
        <f>1170+44</f>
        <v>1214</v>
      </c>
      <c r="D5" s="80">
        <v>1995</v>
      </c>
      <c r="E5" s="80">
        <f t="shared" si="0"/>
        <v>60.9</v>
      </c>
      <c r="F5" s="80">
        <f t="shared" si="1"/>
        <v>485.6</v>
      </c>
      <c r="G5" s="80">
        <v>270</v>
      </c>
      <c r="H5" s="104">
        <f t="shared" si="2"/>
        <v>7</v>
      </c>
      <c r="I5" s="107" t="s">
        <v>60</v>
      </c>
    </row>
    <row r="6" spans="1:9" s="52" customFormat="1" ht="23.25" customHeight="1" x14ac:dyDescent="0.25">
      <c r="A6" s="80">
        <v>4</v>
      </c>
      <c r="B6" s="82" t="s">
        <v>115</v>
      </c>
      <c r="C6" s="80">
        <f>1170+44</f>
        <v>1214</v>
      </c>
      <c r="D6" s="80">
        <v>1995</v>
      </c>
      <c r="E6" s="80">
        <f t="shared" si="0"/>
        <v>60.9</v>
      </c>
      <c r="F6" s="80">
        <f t="shared" si="1"/>
        <v>485.6</v>
      </c>
      <c r="G6" s="80">
        <v>270</v>
      </c>
      <c r="H6" s="104">
        <f t="shared" si="2"/>
        <v>7</v>
      </c>
      <c r="I6" s="107" t="s">
        <v>60</v>
      </c>
    </row>
    <row r="7" spans="1:9" s="52" customFormat="1" ht="23.25" customHeight="1" x14ac:dyDescent="0.25">
      <c r="A7" s="80">
        <v>5</v>
      </c>
      <c r="B7" s="82" t="s">
        <v>116</v>
      </c>
      <c r="C7" s="80">
        <f>1170+44</f>
        <v>1214</v>
      </c>
      <c r="D7" s="80">
        <v>1995</v>
      </c>
      <c r="E7" s="80">
        <f t="shared" si="0"/>
        <v>60.9</v>
      </c>
      <c r="F7" s="80">
        <f t="shared" si="1"/>
        <v>485.6</v>
      </c>
      <c r="G7" s="80">
        <v>270</v>
      </c>
      <c r="H7" s="104">
        <f t="shared" si="2"/>
        <v>7</v>
      </c>
      <c r="I7" s="107" t="s">
        <v>60</v>
      </c>
    </row>
    <row r="8" spans="1:9" s="52" customFormat="1" ht="23.25" customHeight="1" x14ac:dyDescent="0.25">
      <c r="A8" s="80">
        <v>6</v>
      </c>
      <c r="B8" s="82" t="s">
        <v>117</v>
      </c>
      <c r="C8" s="80">
        <f>1050+46</f>
        <v>1096</v>
      </c>
      <c r="D8" s="80">
        <v>1935</v>
      </c>
      <c r="E8" s="88">
        <f t="shared" si="0"/>
        <v>56.6</v>
      </c>
      <c r="F8" s="80">
        <f t="shared" si="1"/>
        <v>438.40000000000003</v>
      </c>
      <c r="G8" s="80">
        <v>270</v>
      </c>
      <c r="H8" s="104">
        <f t="shared" si="2"/>
        <v>6</v>
      </c>
      <c r="I8" s="107" t="s">
        <v>61</v>
      </c>
    </row>
    <row r="9" spans="1:9" s="52" customFormat="1" ht="23.25" customHeight="1" x14ac:dyDescent="0.25">
      <c r="A9" s="80">
        <v>7</v>
      </c>
      <c r="B9" s="82" t="s">
        <v>118</v>
      </c>
      <c r="C9" s="80">
        <f>1140+44</f>
        <v>1184</v>
      </c>
      <c r="D9" s="80">
        <v>1890</v>
      </c>
      <c r="E9" s="87">
        <f t="shared" si="0"/>
        <v>62.6</v>
      </c>
      <c r="F9" s="80">
        <f t="shared" si="1"/>
        <v>473.6</v>
      </c>
      <c r="G9" s="80">
        <v>270</v>
      </c>
      <c r="H9" s="104">
        <f t="shared" si="2"/>
        <v>7</v>
      </c>
      <c r="I9" s="107" t="s">
        <v>62</v>
      </c>
    </row>
    <row r="10" spans="1:9" s="52" customFormat="1" ht="23.25" customHeight="1" x14ac:dyDescent="0.25">
      <c r="A10" s="80">
        <v>8</v>
      </c>
      <c r="B10" s="82" t="s">
        <v>119</v>
      </c>
      <c r="C10" s="80">
        <f>1140+44</f>
        <v>1184</v>
      </c>
      <c r="D10" s="80">
        <v>1980</v>
      </c>
      <c r="E10" s="88">
        <f t="shared" si="0"/>
        <v>59.8</v>
      </c>
      <c r="F10" s="80">
        <f t="shared" si="1"/>
        <v>473.6</v>
      </c>
      <c r="G10" s="80">
        <v>270</v>
      </c>
      <c r="H10" s="104">
        <f t="shared" si="2"/>
        <v>7</v>
      </c>
      <c r="I10" s="107" t="s">
        <v>62</v>
      </c>
    </row>
    <row r="11" spans="1:9" s="52" customFormat="1" ht="23.25" customHeight="1" x14ac:dyDescent="0.25">
      <c r="A11" s="80">
        <v>9</v>
      </c>
      <c r="B11" s="82" t="s">
        <v>10</v>
      </c>
      <c r="C11" s="80">
        <f>1140+42</f>
        <v>1182</v>
      </c>
      <c r="D11" s="80">
        <v>1980</v>
      </c>
      <c r="E11" s="88">
        <f t="shared" si="0"/>
        <v>59.7</v>
      </c>
      <c r="F11" s="80">
        <f t="shared" si="1"/>
        <v>472.8</v>
      </c>
      <c r="G11" s="80">
        <v>270</v>
      </c>
      <c r="H11" s="104">
        <f t="shared" si="2"/>
        <v>7</v>
      </c>
      <c r="I11" s="107" t="s">
        <v>64</v>
      </c>
    </row>
    <row r="12" spans="1:9" s="52" customFormat="1" ht="23.25" customHeight="1" x14ac:dyDescent="0.25">
      <c r="A12" s="80">
        <v>10</v>
      </c>
      <c r="B12" s="82" t="s">
        <v>120</v>
      </c>
      <c r="C12" s="80"/>
      <c r="D12" s="80"/>
      <c r="E12" s="87"/>
      <c r="F12" s="80"/>
      <c r="G12" s="80"/>
      <c r="H12" s="104"/>
      <c r="I12" s="108"/>
    </row>
    <row r="13" spans="1:9" s="52" customFormat="1" ht="23.25" customHeight="1" x14ac:dyDescent="0.25">
      <c r="A13" s="80">
        <v>11</v>
      </c>
      <c r="B13" s="82" t="s">
        <v>121</v>
      </c>
      <c r="C13" s="80">
        <f>1240</f>
        <v>1240</v>
      </c>
      <c r="D13" s="80">
        <v>2010</v>
      </c>
      <c r="E13" s="80">
        <f t="shared" si="0"/>
        <v>61.7</v>
      </c>
      <c r="F13" s="80">
        <f t="shared" si="1"/>
        <v>496</v>
      </c>
      <c r="G13" s="80">
        <v>270</v>
      </c>
      <c r="H13" s="104">
        <f t="shared" si="2"/>
        <v>8</v>
      </c>
      <c r="I13" s="107" t="s">
        <v>64</v>
      </c>
    </row>
    <row r="14" spans="1:9" s="52" customFormat="1" ht="23.25" customHeight="1" x14ac:dyDescent="0.25">
      <c r="A14" s="80">
        <v>12</v>
      </c>
      <c r="B14" s="82" t="s">
        <v>122</v>
      </c>
      <c r="C14" s="80">
        <v>1240</v>
      </c>
      <c r="D14" s="80">
        <v>2010</v>
      </c>
      <c r="E14" s="80">
        <f t="shared" si="0"/>
        <v>61.7</v>
      </c>
      <c r="F14" s="80">
        <f t="shared" si="1"/>
        <v>496</v>
      </c>
      <c r="G14" s="80">
        <v>270</v>
      </c>
      <c r="H14" s="104">
        <f t="shared" si="2"/>
        <v>8</v>
      </c>
      <c r="I14" s="107" t="s">
        <v>64</v>
      </c>
    </row>
    <row r="15" spans="1:9" s="52" customFormat="1" ht="23.25" customHeight="1" x14ac:dyDescent="0.25">
      <c r="A15" s="80">
        <v>13</v>
      </c>
      <c r="B15" s="82" t="s">
        <v>123</v>
      </c>
      <c r="C15" s="80">
        <f>1125+46</f>
        <v>1171</v>
      </c>
      <c r="D15" s="80">
        <v>1980</v>
      </c>
      <c r="E15" s="88">
        <f t="shared" si="0"/>
        <v>59.1</v>
      </c>
      <c r="F15" s="80">
        <f t="shared" si="1"/>
        <v>468.40000000000003</v>
      </c>
      <c r="G15" s="80">
        <v>270</v>
      </c>
      <c r="H15" s="104">
        <f t="shared" si="2"/>
        <v>7</v>
      </c>
      <c r="I15" s="107" t="s">
        <v>63</v>
      </c>
    </row>
    <row r="16" spans="1:9" s="52" customFormat="1" ht="23.25" customHeight="1" x14ac:dyDescent="0.25">
      <c r="A16" s="80">
        <v>14</v>
      </c>
      <c r="B16" s="82" t="s">
        <v>124</v>
      </c>
      <c r="C16" s="80">
        <f>1140+40</f>
        <v>1180</v>
      </c>
      <c r="D16" s="80">
        <v>1980</v>
      </c>
      <c r="E16" s="88">
        <f t="shared" si="0"/>
        <v>59.6</v>
      </c>
      <c r="F16" s="80">
        <f t="shared" si="1"/>
        <v>472</v>
      </c>
      <c r="G16" s="80">
        <v>270</v>
      </c>
      <c r="H16" s="104">
        <f t="shared" si="2"/>
        <v>7</v>
      </c>
      <c r="I16" s="107" t="s">
        <v>65</v>
      </c>
    </row>
    <row r="17" spans="1:9" s="52" customFormat="1" ht="36" customHeight="1" x14ac:dyDescent="0.25">
      <c r="A17" s="80">
        <v>15</v>
      </c>
      <c r="B17" s="82" t="s">
        <v>125</v>
      </c>
      <c r="C17" s="80">
        <f>1248</f>
        <v>1248</v>
      </c>
      <c r="D17" s="80">
        <v>2010</v>
      </c>
      <c r="E17" s="80">
        <f t="shared" si="0"/>
        <v>62.1</v>
      </c>
      <c r="F17" s="80">
        <f t="shared" si="1"/>
        <v>499.20000000000005</v>
      </c>
      <c r="G17" s="80">
        <v>270</v>
      </c>
      <c r="H17" s="105">
        <f t="shared" si="2"/>
        <v>8</v>
      </c>
      <c r="I17" s="109" t="s">
        <v>69</v>
      </c>
    </row>
    <row r="18" spans="1:9" s="52" customFormat="1" ht="36" customHeight="1" x14ac:dyDescent="0.25">
      <c r="A18" s="80">
        <v>16</v>
      </c>
      <c r="B18" s="82" t="s">
        <v>126</v>
      </c>
      <c r="C18" s="80">
        <f>1170+52</f>
        <v>1222</v>
      </c>
      <c r="D18" s="80">
        <v>1995</v>
      </c>
      <c r="E18" s="80">
        <f t="shared" si="0"/>
        <v>61.3</v>
      </c>
      <c r="F18" s="80">
        <f t="shared" si="1"/>
        <v>488.8</v>
      </c>
      <c r="G18" s="80">
        <v>270</v>
      </c>
      <c r="H18" s="104">
        <f>ROUND((F18-G18)/30,0)</f>
        <v>7</v>
      </c>
      <c r="I18" s="110" t="s">
        <v>66</v>
      </c>
    </row>
    <row r="19" spans="1:9" s="52" customFormat="1" ht="36" customHeight="1" x14ac:dyDescent="0.25">
      <c r="A19" s="80">
        <v>17</v>
      </c>
      <c r="B19" s="82" t="s">
        <v>127</v>
      </c>
      <c r="C19" s="80">
        <f>1170+52</f>
        <v>1222</v>
      </c>
      <c r="D19" s="80">
        <v>1995</v>
      </c>
      <c r="E19" s="80">
        <f t="shared" si="0"/>
        <v>61.3</v>
      </c>
      <c r="F19" s="80">
        <f t="shared" si="1"/>
        <v>488.8</v>
      </c>
      <c r="G19" s="80">
        <v>270</v>
      </c>
      <c r="H19" s="105">
        <f t="shared" si="2"/>
        <v>7</v>
      </c>
      <c r="I19" s="109" t="s">
        <v>71</v>
      </c>
    </row>
    <row r="20" spans="1:9" s="52" customFormat="1" ht="36" customHeight="1" x14ac:dyDescent="0.25">
      <c r="A20" s="80">
        <v>18</v>
      </c>
      <c r="B20" s="82" t="s">
        <v>128</v>
      </c>
      <c r="C20" s="80">
        <f>1230+54</f>
        <v>1284</v>
      </c>
      <c r="D20" s="80">
        <v>2025</v>
      </c>
      <c r="E20" s="80">
        <f t="shared" si="0"/>
        <v>63.4</v>
      </c>
      <c r="F20" s="80">
        <f t="shared" si="1"/>
        <v>513.6</v>
      </c>
      <c r="G20" s="80">
        <v>270</v>
      </c>
      <c r="H20" s="105">
        <f t="shared" si="2"/>
        <v>8</v>
      </c>
      <c r="I20" s="109" t="s">
        <v>68</v>
      </c>
    </row>
    <row r="21" spans="1:9" s="52" customFormat="1" ht="25.5" customHeight="1" x14ac:dyDescent="0.25">
      <c r="A21" s="80">
        <v>19</v>
      </c>
      <c r="B21" s="82" t="s">
        <v>129</v>
      </c>
      <c r="C21" s="80"/>
      <c r="D21" s="80"/>
      <c r="E21" s="80"/>
      <c r="F21" s="80"/>
      <c r="G21" s="80"/>
      <c r="H21" s="104"/>
      <c r="I21" s="111"/>
    </row>
    <row r="22" spans="1:9" s="52" customFormat="1" ht="34.5" customHeight="1" x14ac:dyDescent="0.25">
      <c r="A22" s="80">
        <v>20</v>
      </c>
      <c r="B22" s="82" t="s">
        <v>130</v>
      </c>
      <c r="C22" s="80">
        <v>1248</v>
      </c>
      <c r="D22" s="80">
        <v>2010</v>
      </c>
      <c r="E22" s="80">
        <f t="shared" si="0"/>
        <v>62.1</v>
      </c>
      <c r="F22" s="80">
        <f t="shared" si="1"/>
        <v>499.20000000000005</v>
      </c>
      <c r="G22" s="80">
        <v>270</v>
      </c>
      <c r="H22" s="105">
        <f t="shared" si="2"/>
        <v>8</v>
      </c>
      <c r="I22" s="109" t="s">
        <v>67</v>
      </c>
    </row>
    <row r="23" spans="1:9" s="52" customFormat="1" ht="34.5" customHeight="1" x14ac:dyDescent="0.25">
      <c r="A23" s="80">
        <v>21</v>
      </c>
      <c r="B23" s="82" t="s">
        <v>131</v>
      </c>
      <c r="C23" s="80">
        <f>1230+48</f>
        <v>1278</v>
      </c>
      <c r="D23" s="80">
        <v>2025</v>
      </c>
      <c r="E23" s="80">
        <f t="shared" ref="E23:E29" si="3">ROUND(C23*100/D23,1)</f>
        <v>63.1</v>
      </c>
      <c r="F23" s="80">
        <f t="shared" si="1"/>
        <v>511.20000000000005</v>
      </c>
      <c r="G23" s="80">
        <v>270</v>
      </c>
      <c r="H23" s="105">
        <f t="shared" si="2"/>
        <v>8</v>
      </c>
      <c r="I23" s="109" t="s">
        <v>70</v>
      </c>
    </row>
    <row r="24" spans="1:9" s="52" customFormat="1" ht="22.5" customHeight="1" x14ac:dyDescent="0.25">
      <c r="A24" s="80">
        <v>22</v>
      </c>
      <c r="B24" s="82" t="s">
        <v>132</v>
      </c>
      <c r="C24" s="80"/>
      <c r="D24" s="80"/>
      <c r="E24" s="80"/>
      <c r="F24" s="80"/>
      <c r="G24" s="80"/>
      <c r="H24" s="104"/>
      <c r="I24" s="108"/>
    </row>
    <row r="25" spans="1:9" s="52" customFormat="1" ht="22.5" customHeight="1" x14ac:dyDescent="0.25">
      <c r="A25" s="80">
        <v>23</v>
      </c>
      <c r="B25" s="82" t="s">
        <v>133</v>
      </c>
      <c r="C25" s="80">
        <f>930+42</f>
        <v>972</v>
      </c>
      <c r="D25" s="80">
        <v>1860</v>
      </c>
      <c r="E25" s="83">
        <f t="shared" si="3"/>
        <v>52.3</v>
      </c>
      <c r="F25" s="80">
        <f t="shared" si="1"/>
        <v>388.8</v>
      </c>
      <c r="G25" s="80">
        <v>270</v>
      </c>
      <c r="H25" s="104">
        <f t="shared" si="2"/>
        <v>4</v>
      </c>
      <c r="I25" s="107" t="s">
        <v>73</v>
      </c>
    </row>
    <row r="26" spans="1:9" s="52" customFormat="1" ht="32.25" customHeight="1" x14ac:dyDescent="0.25">
      <c r="A26" s="80">
        <v>24</v>
      </c>
      <c r="B26" s="82" t="s">
        <v>134</v>
      </c>
      <c r="C26" s="80">
        <f>960+48</f>
        <v>1008</v>
      </c>
      <c r="D26" s="80">
        <v>1875</v>
      </c>
      <c r="E26" s="83">
        <f t="shared" si="3"/>
        <v>53.8</v>
      </c>
      <c r="F26" s="80">
        <f t="shared" si="1"/>
        <v>403.20000000000005</v>
      </c>
      <c r="G26" s="80">
        <v>270</v>
      </c>
      <c r="H26" s="104">
        <f t="shared" si="2"/>
        <v>4</v>
      </c>
      <c r="I26" s="110" t="s">
        <v>91</v>
      </c>
    </row>
    <row r="27" spans="1:9" s="52" customFormat="1" ht="25.5" customHeight="1" x14ac:dyDescent="0.25">
      <c r="A27" s="80">
        <v>25</v>
      </c>
      <c r="B27" s="82" t="s">
        <v>135</v>
      </c>
      <c r="C27" s="80"/>
      <c r="D27" s="80"/>
      <c r="E27" s="87"/>
      <c r="F27" s="80"/>
      <c r="G27" s="80"/>
      <c r="H27" s="104"/>
      <c r="I27" s="108"/>
    </row>
    <row r="28" spans="1:9" s="52" customFormat="1" ht="25.5" customHeight="1" x14ac:dyDescent="0.25">
      <c r="A28" s="80">
        <v>26</v>
      </c>
      <c r="B28" s="82" t="s">
        <v>136</v>
      </c>
      <c r="C28" s="80">
        <f>990+48</f>
        <v>1038</v>
      </c>
      <c r="D28" s="80">
        <v>1905</v>
      </c>
      <c r="E28" s="83">
        <f t="shared" si="3"/>
        <v>54.5</v>
      </c>
      <c r="F28" s="80">
        <f t="shared" si="1"/>
        <v>415.20000000000005</v>
      </c>
      <c r="G28" s="80">
        <v>270</v>
      </c>
      <c r="H28" s="104">
        <f t="shared" si="2"/>
        <v>5</v>
      </c>
      <c r="I28" s="107" t="s">
        <v>75</v>
      </c>
    </row>
    <row r="29" spans="1:9" s="52" customFormat="1" ht="25.5" customHeight="1" x14ac:dyDescent="0.25">
      <c r="A29" s="80">
        <v>27</v>
      </c>
      <c r="B29" s="82" t="s">
        <v>137</v>
      </c>
      <c r="C29" s="80">
        <v>1250</v>
      </c>
      <c r="D29" s="80">
        <v>2010</v>
      </c>
      <c r="E29" s="80">
        <f t="shared" si="3"/>
        <v>62.2</v>
      </c>
      <c r="F29" s="80">
        <f t="shared" si="1"/>
        <v>500</v>
      </c>
      <c r="G29" s="80">
        <v>270</v>
      </c>
      <c r="H29" s="104">
        <f t="shared" si="2"/>
        <v>8</v>
      </c>
      <c r="I29" s="107" t="s">
        <v>72</v>
      </c>
    </row>
    <row r="30" spans="1:9" s="52" customFormat="1" ht="25.5" customHeight="1" x14ac:dyDescent="0.25">
      <c r="A30" s="131" t="s">
        <v>92</v>
      </c>
      <c r="B30" s="131"/>
      <c r="C30" s="99" t="s">
        <v>94</v>
      </c>
      <c r="D30" s="80"/>
      <c r="E30" s="80"/>
      <c r="F30" s="80"/>
      <c r="G30" s="80"/>
      <c r="H30" s="80"/>
      <c r="I30" s="80"/>
    </row>
    <row r="31" spans="1:9" s="5" customFormat="1" ht="18.75" customHeight="1" x14ac:dyDescent="0.25">
      <c r="B31" s="19"/>
      <c r="C31" s="25"/>
      <c r="D31" s="25"/>
      <c r="E31" s="25"/>
      <c r="F31" s="25"/>
      <c r="G31" s="25"/>
      <c r="H31" s="25"/>
      <c r="I31" s="25"/>
    </row>
    <row r="32" spans="1:9" s="5" customFormat="1" ht="18.75" customHeight="1" x14ac:dyDescent="0.25">
      <c r="B32" s="19"/>
      <c r="C32" s="25"/>
      <c r="D32" s="25"/>
      <c r="F32" s="25"/>
      <c r="G32" s="25"/>
      <c r="H32" s="25"/>
      <c r="I32" s="25"/>
    </row>
    <row r="33" spans="2:9" s="5" customFormat="1" ht="18.75" customHeight="1" x14ac:dyDescent="0.25">
      <c r="B33" s="28" t="s">
        <v>104</v>
      </c>
      <c r="D33" s="25"/>
      <c r="E33" s="25"/>
      <c r="F33" s="25"/>
      <c r="G33" s="25"/>
      <c r="H33" s="25"/>
      <c r="I33" s="25"/>
    </row>
    <row r="34" spans="2:9" s="5" customFormat="1" ht="18.75" customHeight="1" x14ac:dyDescent="0.25">
      <c r="B34" s="53" t="s">
        <v>102</v>
      </c>
      <c r="E34" s="25"/>
      <c r="F34" s="58">
        <v>0.60860000000000003</v>
      </c>
      <c r="G34" s="25"/>
      <c r="I34" s="25"/>
    </row>
    <row r="35" spans="2:9" s="5" customFormat="1" ht="18.75" customHeight="1" x14ac:dyDescent="0.25">
      <c r="B35" s="53" t="s">
        <v>103</v>
      </c>
      <c r="D35" s="25"/>
      <c r="E35" s="25"/>
      <c r="F35" s="58">
        <v>0.91300000000000003</v>
      </c>
      <c r="G35" s="25"/>
      <c r="I35" s="25"/>
    </row>
    <row r="36" spans="2:9" s="5" customFormat="1" ht="11.25" customHeight="1" x14ac:dyDescent="0.25">
      <c r="B36" s="25"/>
      <c r="D36" s="25"/>
      <c r="E36" s="25"/>
      <c r="F36" s="25"/>
      <c r="G36" s="25"/>
      <c r="H36" s="25"/>
      <c r="I36" s="25"/>
    </row>
    <row r="37" spans="2:9" s="5" customFormat="1" ht="18.75" customHeight="1" x14ac:dyDescent="0.25">
      <c r="B37" s="28" t="s">
        <v>110</v>
      </c>
      <c r="C37" s="63"/>
      <c r="D37" s="23"/>
      <c r="E37" s="23"/>
      <c r="F37" s="23"/>
      <c r="G37" s="63"/>
      <c r="H37" s="64">
        <v>0.68179999999999996</v>
      </c>
      <c r="I37" s="25"/>
    </row>
    <row r="38" spans="2:9" s="5" customFormat="1" ht="20.25" customHeight="1" x14ac:dyDescent="0.25">
      <c r="B38" s="20" t="s">
        <v>111</v>
      </c>
      <c r="C38" s="63"/>
      <c r="D38" s="20"/>
      <c r="E38" s="20"/>
      <c r="F38" s="20"/>
      <c r="G38" s="20"/>
      <c r="H38" s="64">
        <v>0.95450000000000002</v>
      </c>
      <c r="I38" s="25"/>
    </row>
    <row r="39" spans="2:9" ht="20.25" customHeight="1" x14ac:dyDescent="0.25"/>
    <row r="40" spans="2:9" ht="18.75" customHeight="1" x14ac:dyDescent="0.25"/>
    <row r="41" spans="2:9" ht="18.75" customHeight="1" x14ac:dyDescent="0.25"/>
    <row r="42" spans="2:9" ht="18.75" customHeight="1" x14ac:dyDescent="0.25"/>
    <row r="43" spans="2:9" ht="18.75" customHeight="1" x14ac:dyDescent="0.25"/>
    <row r="44" spans="2:9" ht="18.75" customHeight="1" x14ac:dyDescent="0.25"/>
    <row r="45" spans="2:9" ht="18.75" customHeight="1" x14ac:dyDescent="0.25"/>
    <row r="46" spans="2:9" ht="18.75" customHeight="1" x14ac:dyDescent="0.25"/>
    <row r="47" spans="2:9" ht="18.75" customHeight="1" x14ac:dyDescent="0.25"/>
    <row r="48" spans="2:9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I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29"/>
  <sheetViews>
    <sheetView topLeftCell="A26" zoomScale="115" zoomScaleNormal="115" workbookViewId="0">
      <selection activeCell="B45" sqref="B45"/>
    </sheetView>
  </sheetViews>
  <sheetFormatPr defaultRowHeight="15" x14ac:dyDescent="0.25"/>
  <cols>
    <col min="1" max="1" width="3.5703125" style="3" customWidth="1"/>
    <col min="2" max="2" width="31.140625" style="3" customWidth="1"/>
    <col min="3" max="8" width="10.42578125" style="3" customWidth="1"/>
    <col min="9" max="9" width="16.140625" style="4" hidden="1" customWidth="1"/>
    <col min="10" max="10" width="9.140625" style="4" customWidth="1"/>
    <col min="11" max="11" width="2.42578125" style="48" customWidth="1"/>
    <col min="12" max="12" width="19.140625" style="3" customWidth="1"/>
    <col min="13" max="14" width="8.7109375" style="3" customWidth="1"/>
    <col min="15" max="15" width="10.28515625" style="3" customWidth="1"/>
    <col min="16" max="16" width="8.85546875" style="3" customWidth="1"/>
    <col min="17" max="17" width="8.85546875" style="4" customWidth="1"/>
    <col min="18" max="19" width="9.28515625" style="3" customWidth="1"/>
    <col min="20" max="20" width="3.5703125" style="3" customWidth="1"/>
    <col min="21" max="22" width="8.5703125" style="71" customWidth="1"/>
    <col min="23" max="23" width="10.7109375" style="71" customWidth="1"/>
    <col min="24" max="24" width="8.140625" style="71" customWidth="1"/>
    <col min="25" max="25" width="8.140625" style="73" customWidth="1"/>
    <col min="26" max="26" width="8.7109375" style="71" customWidth="1"/>
    <col min="27" max="16384" width="9.140625" style="3"/>
  </cols>
  <sheetData>
    <row r="1" spans="1:26" s="2" customFormat="1" ht="45.75" customHeight="1" x14ac:dyDescent="0.25">
      <c r="A1" s="134" t="s">
        <v>142</v>
      </c>
      <c r="B1" s="135"/>
      <c r="C1" s="135"/>
      <c r="D1" s="135"/>
      <c r="E1" s="135"/>
      <c r="F1" s="135"/>
      <c r="G1" s="135"/>
      <c r="H1" s="135"/>
      <c r="I1" s="136"/>
      <c r="J1" s="78"/>
      <c r="K1" s="133" t="s">
        <v>51</v>
      </c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</row>
    <row r="2" spans="1:26" s="52" customFormat="1" ht="63" customHeight="1" x14ac:dyDescent="0.25">
      <c r="A2" s="81" t="s">
        <v>138</v>
      </c>
      <c r="B2" s="50" t="s">
        <v>52</v>
      </c>
      <c r="C2" s="50" t="s">
        <v>139</v>
      </c>
      <c r="D2" s="50" t="s">
        <v>53</v>
      </c>
      <c r="E2" s="50" t="s">
        <v>140</v>
      </c>
      <c r="F2" s="51" t="s">
        <v>55</v>
      </c>
      <c r="G2" s="51" t="s">
        <v>56</v>
      </c>
      <c r="H2" s="103" t="s">
        <v>57</v>
      </c>
      <c r="I2" s="106" t="s">
        <v>155</v>
      </c>
    </row>
    <row r="3" spans="1:26" s="52" customFormat="1" ht="24" customHeight="1" x14ac:dyDescent="0.25">
      <c r="A3" s="80">
        <v>1</v>
      </c>
      <c r="B3" s="82" t="s">
        <v>112</v>
      </c>
      <c r="C3" s="87">
        <f>780+38</f>
        <v>818</v>
      </c>
      <c r="D3" s="87">
        <v>1395</v>
      </c>
      <c r="E3" s="83">
        <f>ROUND(C3*100/D3,1)</f>
        <v>58.6</v>
      </c>
      <c r="F3" s="80">
        <f t="shared" ref="F3:F29" si="0">C3*0.4</f>
        <v>327.20000000000005</v>
      </c>
      <c r="G3" s="80">
        <v>270</v>
      </c>
      <c r="H3" s="104">
        <f>ROUND((F3-G3)/30,0)</f>
        <v>2</v>
      </c>
      <c r="I3" s="107" t="s">
        <v>78</v>
      </c>
      <c r="J3" s="112"/>
      <c r="K3" s="86"/>
      <c r="L3" s="79" t="s">
        <v>0</v>
      </c>
      <c r="M3" s="80">
        <f>645+20+165+12</f>
        <v>842</v>
      </c>
      <c r="N3" s="80">
        <f>390+1050</f>
        <v>1440</v>
      </c>
      <c r="O3" s="88">
        <f>ROUND(M3*100/N3,1)</f>
        <v>58.5</v>
      </c>
      <c r="P3" s="80">
        <f>M3*0.4</f>
        <v>336.8</v>
      </c>
      <c r="Q3" s="80">
        <v>270</v>
      </c>
      <c r="R3" s="84">
        <f>ROUND((P3-Q3)/30,0)</f>
        <v>2</v>
      </c>
      <c r="S3" s="85" t="s">
        <v>90</v>
      </c>
      <c r="T3" s="89"/>
      <c r="U3" s="90">
        <f>645+20</f>
        <v>665</v>
      </c>
      <c r="V3" s="90">
        <v>1050</v>
      </c>
      <c r="W3" s="90">
        <f>ROUND(U3*100/V3,1)</f>
        <v>63.3</v>
      </c>
      <c r="X3" s="91">
        <f>U3*0.4</f>
        <v>266</v>
      </c>
      <c r="Y3" s="91">
        <v>270</v>
      </c>
      <c r="Z3" s="92">
        <f>ROUND((X3-Y3)/30,0)</f>
        <v>0</v>
      </c>
    </row>
    <row r="4" spans="1:26" s="52" customFormat="1" ht="24" customHeight="1" x14ac:dyDescent="0.25">
      <c r="A4" s="80">
        <v>2</v>
      </c>
      <c r="B4" s="82" t="s">
        <v>113</v>
      </c>
      <c r="C4" s="80">
        <f>1020+30</f>
        <v>1050</v>
      </c>
      <c r="D4" s="80">
        <v>1515</v>
      </c>
      <c r="E4" s="80">
        <f t="shared" ref="E4:E29" si="1">ROUND(C4*100/D4,1)</f>
        <v>69.3</v>
      </c>
      <c r="F4" s="80">
        <f t="shared" si="0"/>
        <v>420</v>
      </c>
      <c r="G4" s="80">
        <v>270</v>
      </c>
      <c r="H4" s="104">
        <f t="shared" ref="H4:H29" si="2">ROUND((F4-G4)/30,0)</f>
        <v>5</v>
      </c>
      <c r="I4" s="107" t="s">
        <v>64</v>
      </c>
      <c r="J4" s="112"/>
      <c r="K4" s="86"/>
      <c r="L4" s="79" t="s">
        <v>1</v>
      </c>
      <c r="M4" s="80">
        <f>795+16+165+12</f>
        <v>988</v>
      </c>
      <c r="N4" s="80">
        <f>390+1125</f>
        <v>1515</v>
      </c>
      <c r="O4" s="80">
        <f t="shared" ref="O4:O7" si="3">ROUND(M4*100/N4,1)</f>
        <v>65.2</v>
      </c>
      <c r="P4" s="80">
        <f t="shared" ref="P4:P34" si="4">M4*0.4</f>
        <v>395.20000000000005</v>
      </c>
      <c r="Q4" s="80">
        <v>270</v>
      </c>
      <c r="R4" s="84">
        <f t="shared" ref="R4:R34" si="5">ROUND((P4-Q4)/30,0)</f>
        <v>4</v>
      </c>
      <c r="S4" s="85" t="s">
        <v>78</v>
      </c>
      <c r="T4" s="93"/>
      <c r="U4" s="91">
        <f>795+16</f>
        <v>811</v>
      </c>
      <c r="V4" s="91">
        <v>1125</v>
      </c>
      <c r="W4" s="91">
        <f t="shared" ref="W4:W5" si="6">ROUND(U4*100/V4,1)</f>
        <v>72.099999999999994</v>
      </c>
      <c r="X4" s="91">
        <f t="shared" ref="X4:X29" si="7">U4*0.4</f>
        <v>324.40000000000003</v>
      </c>
      <c r="Y4" s="91">
        <v>270</v>
      </c>
      <c r="Z4" s="92">
        <f t="shared" ref="Z4:Z29" si="8">ROUND((X4-Y4)/30,0)</f>
        <v>2</v>
      </c>
    </row>
    <row r="5" spans="1:26" s="52" customFormat="1" ht="24" customHeight="1" x14ac:dyDescent="0.25">
      <c r="A5" s="80">
        <v>3</v>
      </c>
      <c r="B5" s="82" t="s">
        <v>114</v>
      </c>
      <c r="C5" s="87">
        <f>1020+30</f>
        <v>1050</v>
      </c>
      <c r="D5" s="87">
        <v>1515</v>
      </c>
      <c r="E5" s="80">
        <f t="shared" si="1"/>
        <v>69.3</v>
      </c>
      <c r="F5" s="80">
        <f t="shared" si="0"/>
        <v>420</v>
      </c>
      <c r="G5" s="80">
        <v>270</v>
      </c>
      <c r="H5" s="104">
        <f t="shared" si="2"/>
        <v>5</v>
      </c>
      <c r="I5" s="107" t="s">
        <v>64</v>
      </c>
      <c r="J5" s="112"/>
      <c r="K5" s="86"/>
      <c r="L5" s="79" t="s">
        <v>4</v>
      </c>
      <c r="M5" s="80">
        <f>165+12+735+18</f>
        <v>930</v>
      </c>
      <c r="N5" s="80">
        <f>1095+390</f>
        <v>1485</v>
      </c>
      <c r="O5" s="80">
        <f t="shared" si="3"/>
        <v>62.6</v>
      </c>
      <c r="P5" s="80">
        <f t="shared" si="4"/>
        <v>372</v>
      </c>
      <c r="Q5" s="80">
        <v>270</v>
      </c>
      <c r="R5" s="84">
        <f t="shared" si="5"/>
        <v>3</v>
      </c>
      <c r="S5" s="85" t="s">
        <v>77</v>
      </c>
      <c r="T5" s="93"/>
      <c r="U5" s="91">
        <v>735</v>
      </c>
      <c r="V5" s="91">
        <v>1095</v>
      </c>
      <c r="W5" s="91">
        <f t="shared" si="6"/>
        <v>67.099999999999994</v>
      </c>
      <c r="X5" s="91">
        <f t="shared" si="7"/>
        <v>294</v>
      </c>
      <c r="Y5" s="91">
        <v>271</v>
      </c>
      <c r="Z5" s="92">
        <f t="shared" si="8"/>
        <v>1</v>
      </c>
    </row>
    <row r="6" spans="1:26" s="52" customFormat="1" ht="24" customHeight="1" x14ac:dyDescent="0.25">
      <c r="A6" s="80">
        <v>4</v>
      </c>
      <c r="B6" s="82" t="s">
        <v>115</v>
      </c>
      <c r="C6" s="80">
        <f>1020+30</f>
        <v>1050</v>
      </c>
      <c r="D6" s="80">
        <v>1515</v>
      </c>
      <c r="E6" s="80">
        <f t="shared" si="1"/>
        <v>69.3</v>
      </c>
      <c r="F6" s="80">
        <f t="shared" si="0"/>
        <v>420</v>
      </c>
      <c r="G6" s="80">
        <v>270</v>
      </c>
      <c r="H6" s="104">
        <f t="shared" si="2"/>
        <v>5</v>
      </c>
      <c r="I6" s="107" t="s">
        <v>64</v>
      </c>
      <c r="J6" s="112"/>
      <c r="K6" s="86"/>
      <c r="L6" s="79" t="s">
        <v>5</v>
      </c>
      <c r="M6" s="80"/>
      <c r="N6" s="80"/>
      <c r="O6" s="80"/>
      <c r="P6" s="80"/>
      <c r="Q6" s="80"/>
      <c r="R6" s="84"/>
      <c r="S6" s="85"/>
      <c r="T6" s="93"/>
      <c r="U6" s="91"/>
      <c r="V6" s="91"/>
      <c r="W6" s="91"/>
      <c r="X6" s="91"/>
      <c r="Y6" s="91"/>
      <c r="Z6" s="92"/>
    </row>
    <row r="7" spans="1:26" s="52" customFormat="1" ht="24" customHeight="1" x14ac:dyDescent="0.25">
      <c r="A7" s="80">
        <v>5</v>
      </c>
      <c r="B7" s="82" t="s">
        <v>116</v>
      </c>
      <c r="C7" s="80">
        <f>1020+30</f>
        <v>1050</v>
      </c>
      <c r="D7" s="80">
        <v>1515</v>
      </c>
      <c r="E7" s="80">
        <f t="shared" si="1"/>
        <v>69.3</v>
      </c>
      <c r="F7" s="80">
        <f t="shared" si="0"/>
        <v>420</v>
      </c>
      <c r="G7" s="80">
        <v>270</v>
      </c>
      <c r="H7" s="104">
        <f t="shared" si="2"/>
        <v>5</v>
      </c>
      <c r="I7" s="107" t="s">
        <v>64</v>
      </c>
      <c r="J7" s="112"/>
      <c r="K7" s="86"/>
      <c r="L7" s="79" t="s">
        <v>6</v>
      </c>
      <c r="M7" s="80">
        <f>165+12+795+16</f>
        <v>988</v>
      </c>
      <c r="N7" s="80">
        <f>390+1125</f>
        <v>1515</v>
      </c>
      <c r="O7" s="80">
        <f t="shared" si="3"/>
        <v>65.2</v>
      </c>
      <c r="P7" s="80">
        <f t="shared" si="4"/>
        <v>395.20000000000005</v>
      </c>
      <c r="Q7" s="80">
        <v>270</v>
      </c>
      <c r="R7" s="84">
        <f t="shared" si="5"/>
        <v>4</v>
      </c>
      <c r="S7" s="85" t="s">
        <v>78</v>
      </c>
      <c r="T7" s="93"/>
      <c r="U7" s="91">
        <v>811</v>
      </c>
      <c r="V7" s="91">
        <v>1125</v>
      </c>
      <c r="W7" s="91">
        <f t="shared" ref="W7" si="9">ROUND(U7*100/V7,1)</f>
        <v>72.099999999999994</v>
      </c>
      <c r="X7" s="91">
        <f t="shared" ref="X7" si="10">U7*0.4</f>
        <v>324.40000000000003</v>
      </c>
      <c r="Y7" s="91">
        <v>273</v>
      </c>
      <c r="Z7" s="92">
        <f t="shared" ref="Z7" si="11">ROUND((X7-Y7)/30,0)</f>
        <v>2</v>
      </c>
    </row>
    <row r="8" spans="1:26" s="52" customFormat="1" ht="24" customHeight="1" x14ac:dyDescent="0.25">
      <c r="A8" s="80">
        <v>6</v>
      </c>
      <c r="B8" s="82" t="s">
        <v>117</v>
      </c>
      <c r="C8" s="80">
        <f>932</f>
        <v>932</v>
      </c>
      <c r="D8" s="80">
        <v>1455</v>
      </c>
      <c r="E8" s="80">
        <f t="shared" si="1"/>
        <v>64.099999999999994</v>
      </c>
      <c r="F8" s="80">
        <f t="shared" si="0"/>
        <v>372.8</v>
      </c>
      <c r="G8" s="80">
        <v>270</v>
      </c>
      <c r="H8" s="104">
        <f t="shared" si="2"/>
        <v>3</v>
      </c>
      <c r="I8" s="107" t="s">
        <v>151</v>
      </c>
      <c r="J8" s="112"/>
      <c r="K8" s="86"/>
      <c r="L8" s="79" t="s">
        <v>7</v>
      </c>
      <c r="M8" s="80"/>
      <c r="N8" s="80"/>
      <c r="O8" s="87"/>
      <c r="P8" s="80"/>
      <c r="Q8" s="80"/>
      <c r="R8" s="84"/>
      <c r="S8" s="84"/>
      <c r="T8" s="89"/>
      <c r="U8" s="90"/>
      <c r="V8" s="90"/>
      <c r="W8" s="90"/>
      <c r="X8" s="91"/>
      <c r="Y8" s="91"/>
      <c r="Z8" s="92"/>
    </row>
    <row r="9" spans="1:26" s="52" customFormat="1" ht="24" customHeight="1" x14ac:dyDescent="0.25">
      <c r="A9" s="80">
        <v>7</v>
      </c>
      <c r="B9" s="82" t="s">
        <v>118</v>
      </c>
      <c r="C9" s="80">
        <f>990+30</f>
        <v>1020</v>
      </c>
      <c r="D9" s="80">
        <v>1500</v>
      </c>
      <c r="E9" s="80">
        <f t="shared" si="1"/>
        <v>68</v>
      </c>
      <c r="F9" s="80">
        <f t="shared" si="0"/>
        <v>408</v>
      </c>
      <c r="G9" s="80">
        <v>270</v>
      </c>
      <c r="H9" s="104">
        <f t="shared" si="2"/>
        <v>5</v>
      </c>
      <c r="I9" s="107" t="s">
        <v>150</v>
      </c>
      <c r="J9" s="112"/>
      <c r="K9" s="86"/>
      <c r="L9" s="79" t="s">
        <v>8</v>
      </c>
      <c r="M9" s="80">
        <f>165+12+675+22</f>
        <v>874</v>
      </c>
      <c r="N9" s="80">
        <f>390+1065</f>
        <v>1455</v>
      </c>
      <c r="O9" s="80">
        <f t="shared" ref="O9:O29" si="12">ROUND(M9*100/N9,1)</f>
        <v>60.1</v>
      </c>
      <c r="P9" s="80">
        <f t="shared" si="4"/>
        <v>349.6</v>
      </c>
      <c r="Q9" s="80">
        <v>270</v>
      </c>
      <c r="R9" s="84">
        <f t="shared" si="5"/>
        <v>3</v>
      </c>
      <c r="S9" s="85" t="s">
        <v>79</v>
      </c>
      <c r="T9" s="93"/>
      <c r="U9" s="91">
        <f>675+22</f>
        <v>697</v>
      </c>
      <c r="V9" s="91">
        <v>1065</v>
      </c>
      <c r="W9" s="91">
        <f t="shared" ref="W9:W29" si="13">ROUND(U9*100/V9,1)</f>
        <v>65.400000000000006</v>
      </c>
      <c r="X9" s="91">
        <f t="shared" si="7"/>
        <v>278.8</v>
      </c>
      <c r="Y9" s="91">
        <v>270</v>
      </c>
      <c r="Z9" s="92">
        <f t="shared" si="8"/>
        <v>0</v>
      </c>
    </row>
    <row r="10" spans="1:26" s="52" customFormat="1" ht="24" customHeight="1" x14ac:dyDescent="0.25">
      <c r="A10" s="80">
        <v>8</v>
      </c>
      <c r="B10" s="82" t="s">
        <v>119</v>
      </c>
      <c r="C10" s="80">
        <f>990+30</f>
        <v>1020</v>
      </c>
      <c r="D10" s="80">
        <v>1500</v>
      </c>
      <c r="E10" s="80">
        <f t="shared" si="1"/>
        <v>68</v>
      </c>
      <c r="F10" s="80">
        <f t="shared" si="0"/>
        <v>408</v>
      </c>
      <c r="G10" s="80">
        <v>270</v>
      </c>
      <c r="H10" s="104">
        <f t="shared" si="2"/>
        <v>5</v>
      </c>
      <c r="I10" s="107" t="s">
        <v>150</v>
      </c>
      <c r="J10" s="112"/>
      <c r="K10" s="86"/>
      <c r="L10" s="79" t="s">
        <v>9</v>
      </c>
      <c r="M10" s="80">
        <f>765+20+165+12</f>
        <v>962</v>
      </c>
      <c r="N10" s="80">
        <f>390+1110</f>
        <v>1500</v>
      </c>
      <c r="O10" s="80">
        <f t="shared" si="12"/>
        <v>64.099999999999994</v>
      </c>
      <c r="P10" s="80">
        <f t="shared" si="4"/>
        <v>384.8</v>
      </c>
      <c r="Q10" s="80">
        <v>270</v>
      </c>
      <c r="R10" s="84">
        <f t="shared" si="5"/>
        <v>4</v>
      </c>
      <c r="S10" s="85" t="s">
        <v>76</v>
      </c>
      <c r="T10" s="93"/>
      <c r="U10" s="91">
        <f>765+20</f>
        <v>785</v>
      </c>
      <c r="V10" s="91">
        <v>1110</v>
      </c>
      <c r="W10" s="91">
        <f t="shared" si="13"/>
        <v>70.7</v>
      </c>
      <c r="X10" s="91">
        <f t="shared" si="7"/>
        <v>314</v>
      </c>
      <c r="Y10" s="91">
        <v>270</v>
      </c>
      <c r="Z10" s="92">
        <f t="shared" si="8"/>
        <v>1</v>
      </c>
    </row>
    <row r="11" spans="1:26" s="52" customFormat="1" ht="24" customHeight="1" x14ac:dyDescent="0.25">
      <c r="A11" s="80">
        <v>9</v>
      </c>
      <c r="B11" s="82" t="s">
        <v>146</v>
      </c>
      <c r="C11" s="80">
        <f>990+28</f>
        <v>1018</v>
      </c>
      <c r="D11" s="80">
        <v>1500</v>
      </c>
      <c r="E11" s="80">
        <f t="shared" si="1"/>
        <v>67.900000000000006</v>
      </c>
      <c r="F11" s="80">
        <f t="shared" si="0"/>
        <v>407.20000000000005</v>
      </c>
      <c r="G11" s="80">
        <v>270</v>
      </c>
      <c r="H11" s="104">
        <f t="shared" si="2"/>
        <v>5</v>
      </c>
      <c r="I11" s="107" t="s">
        <v>62</v>
      </c>
      <c r="J11" s="112"/>
      <c r="K11" s="86"/>
      <c r="L11" s="79" t="s">
        <v>10</v>
      </c>
      <c r="M11" s="80">
        <f>705+16+165+12</f>
        <v>898</v>
      </c>
      <c r="N11" s="80">
        <f>390+1080</f>
        <v>1470</v>
      </c>
      <c r="O11" s="80">
        <f t="shared" si="12"/>
        <v>61.1</v>
      </c>
      <c r="P11" s="80">
        <f t="shared" si="4"/>
        <v>359.20000000000005</v>
      </c>
      <c r="Q11" s="80">
        <v>270</v>
      </c>
      <c r="R11" s="84">
        <f t="shared" si="5"/>
        <v>3</v>
      </c>
      <c r="S11" s="85" t="s">
        <v>62</v>
      </c>
      <c r="T11" s="93"/>
      <c r="U11" s="94"/>
      <c r="V11" s="94"/>
      <c r="W11" s="94"/>
      <c r="X11" s="94"/>
      <c r="Y11" s="94"/>
      <c r="Z11" s="95"/>
    </row>
    <row r="12" spans="1:26" s="52" customFormat="1" ht="24" customHeight="1" x14ac:dyDescent="0.25">
      <c r="A12" s="80">
        <v>10</v>
      </c>
      <c r="B12" s="82" t="s">
        <v>120</v>
      </c>
      <c r="C12" s="80"/>
      <c r="D12" s="80"/>
      <c r="E12" s="80"/>
      <c r="F12" s="80"/>
      <c r="G12" s="80"/>
      <c r="H12" s="104"/>
      <c r="I12" s="108"/>
      <c r="J12" s="112"/>
      <c r="K12" s="86"/>
      <c r="L12" s="79" t="s">
        <v>26</v>
      </c>
      <c r="M12" s="80">
        <f>165+12+765+16</f>
        <v>958</v>
      </c>
      <c r="N12" s="80">
        <f>1110+390</f>
        <v>1500</v>
      </c>
      <c r="O12" s="80">
        <f t="shared" si="12"/>
        <v>63.9</v>
      </c>
      <c r="P12" s="80">
        <f t="shared" si="4"/>
        <v>383.20000000000005</v>
      </c>
      <c r="Q12" s="80">
        <v>270</v>
      </c>
      <c r="R12" s="84">
        <f t="shared" si="5"/>
        <v>4</v>
      </c>
      <c r="S12" s="85" t="s">
        <v>62</v>
      </c>
      <c r="T12" s="93"/>
      <c r="U12" s="91">
        <f>765+16</f>
        <v>781</v>
      </c>
      <c r="V12" s="91">
        <v>1110</v>
      </c>
      <c r="W12" s="91">
        <f t="shared" ref="W12" si="14">ROUND(U12*100/V12,1)</f>
        <v>70.400000000000006</v>
      </c>
      <c r="X12" s="91">
        <f t="shared" si="7"/>
        <v>312.40000000000003</v>
      </c>
      <c r="Y12" s="91">
        <v>270</v>
      </c>
      <c r="Z12" s="92">
        <f t="shared" si="8"/>
        <v>1</v>
      </c>
    </row>
    <row r="13" spans="1:26" s="52" customFormat="1" ht="24" customHeight="1" x14ac:dyDescent="0.25">
      <c r="A13" s="80">
        <v>11</v>
      </c>
      <c r="B13" s="82" t="s">
        <v>121</v>
      </c>
      <c r="C13" s="80">
        <f>1050+26</f>
        <v>1076</v>
      </c>
      <c r="D13" s="80">
        <v>1530</v>
      </c>
      <c r="E13" s="80">
        <f t="shared" si="1"/>
        <v>70.3</v>
      </c>
      <c r="F13" s="80">
        <f t="shared" si="0"/>
        <v>430.40000000000003</v>
      </c>
      <c r="G13" s="80">
        <v>270</v>
      </c>
      <c r="H13" s="104">
        <f t="shared" si="2"/>
        <v>5</v>
      </c>
      <c r="I13" s="107" t="s">
        <v>75</v>
      </c>
      <c r="J13" s="112"/>
      <c r="K13" s="86"/>
      <c r="L13" s="79" t="s">
        <v>11</v>
      </c>
      <c r="M13" s="80"/>
      <c r="N13" s="80"/>
      <c r="O13" s="80"/>
      <c r="P13" s="80"/>
      <c r="Q13" s="80"/>
      <c r="R13" s="84"/>
      <c r="S13" s="84"/>
      <c r="T13" s="93"/>
      <c r="U13" s="94"/>
      <c r="V13" s="94"/>
      <c r="W13" s="94"/>
      <c r="X13" s="94"/>
      <c r="Y13" s="94"/>
      <c r="Z13" s="95"/>
    </row>
    <row r="14" spans="1:26" s="52" customFormat="1" ht="24" customHeight="1" x14ac:dyDescent="0.25">
      <c r="A14" s="80">
        <v>12</v>
      </c>
      <c r="B14" s="82" t="s">
        <v>122</v>
      </c>
      <c r="C14" s="80">
        <f>1050+26</f>
        <v>1076</v>
      </c>
      <c r="D14" s="80">
        <v>1530</v>
      </c>
      <c r="E14" s="80">
        <f t="shared" si="1"/>
        <v>70.3</v>
      </c>
      <c r="F14" s="80">
        <f t="shared" si="0"/>
        <v>430.40000000000003</v>
      </c>
      <c r="G14" s="80">
        <v>270</v>
      </c>
      <c r="H14" s="104">
        <f t="shared" si="2"/>
        <v>5</v>
      </c>
      <c r="I14" s="107" t="s">
        <v>75</v>
      </c>
      <c r="J14" s="112"/>
      <c r="K14" s="86"/>
      <c r="L14" s="79" t="s">
        <v>12</v>
      </c>
      <c r="M14" s="80"/>
      <c r="N14" s="80"/>
      <c r="O14" s="87"/>
      <c r="P14" s="80"/>
      <c r="Q14" s="80"/>
      <c r="R14" s="84"/>
      <c r="S14" s="84"/>
      <c r="T14" s="89"/>
      <c r="U14" s="96"/>
      <c r="V14" s="96"/>
      <c r="W14" s="96"/>
      <c r="X14" s="94"/>
      <c r="Y14" s="94"/>
      <c r="Z14" s="95"/>
    </row>
    <row r="15" spans="1:26" s="52" customFormat="1" ht="24" customHeight="1" x14ac:dyDescent="0.25">
      <c r="A15" s="80">
        <v>13</v>
      </c>
      <c r="B15" s="82" t="s">
        <v>123</v>
      </c>
      <c r="C15" s="80">
        <f>975+32</f>
        <v>1007</v>
      </c>
      <c r="D15" s="80">
        <v>1500</v>
      </c>
      <c r="E15" s="80">
        <f t="shared" si="1"/>
        <v>67.099999999999994</v>
      </c>
      <c r="F15" s="80">
        <f t="shared" si="0"/>
        <v>402.8</v>
      </c>
      <c r="G15" s="80">
        <v>270</v>
      </c>
      <c r="H15" s="104">
        <f t="shared" si="2"/>
        <v>4</v>
      </c>
      <c r="I15" s="107" t="s">
        <v>152</v>
      </c>
      <c r="J15" s="112"/>
      <c r="K15" s="86"/>
      <c r="L15" s="79" t="s">
        <v>13</v>
      </c>
      <c r="M15" s="80"/>
      <c r="N15" s="80"/>
      <c r="O15" s="80"/>
      <c r="P15" s="80"/>
      <c r="Q15" s="80"/>
      <c r="R15" s="84"/>
      <c r="S15" s="84"/>
      <c r="T15" s="93"/>
      <c r="U15" s="94"/>
      <c r="V15" s="94"/>
      <c r="W15" s="94"/>
      <c r="X15" s="94"/>
      <c r="Y15" s="94"/>
      <c r="Z15" s="95"/>
    </row>
    <row r="16" spans="1:26" s="52" customFormat="1" ht="24" customHeight="1" x14ac:dyDescent="0.25">
      <c r="A16" s="80">
        <v>14</v>
      </c>
      <c r="B16" s="82" t="s">
        <v>124</v>
      </c>
      <c r="C16" s="80">
        <f>990+26</f>
        <v>1016</v>
      </c>
      <c r="D16" s="80">
        <v>1500</v>
      </c>
      <c r="E16" s="80">
        <f t="shared" si="1"/>
        <v>67.7</v>
      </c>
      <c r="F16" s="80">
        <f t="shared" si="0"/>
        <v>406.40000000000003</v>
      </c>
      <c r="G16" s="80">
        <v>270</v>
      </c>
      <c r="H16" s="104">
        <f t="shared" si="2"/>
        <v>5</v>
      </c>
      <c r="I16" s="107" t="s">
        <v>77</v>
      </c>
      <c r="J16" s="112"/>
      <c r="K16" s="86"/>
      <c r="L16" s="79" t="s">
        <v>14</v>
      </c>
      <c r="M16" s="80">
        <f>675+16+165+12</f>
        <v>868</v>
      </c>
      <c r="N16" s="80">
        <f>390+1065</f>
        <v>1455</v>
      </c>
      <c r="O16" s="88">
        <f t="shared" si="12"/>
        <v>59.7</v>
      </c>
      <c r="P16" s="80">
        <f t="shared" si="4"/>
        <v>347.20000000000005</v>
      </c>
      <c r="Q16" s="80">
        <v>270</v>
      </c>
      <c r="R16" s="84">
        <f t="shared" si="5"/>
        <v>3</v>
      </c>
      <c r="S16" s="85" t="s">
        <v>62</v>
      </c>
      <c r="T16" s="93"/>
      <c r="U16" s="91">
        <f>675+16</f>
        <v>691</v>
      </c>
      <c r="V16" s="91">
        <v>1065</v>
      </c>
      <c r="W16" s="91">
        <f t="shared" si="13"/>
        <v>64.900000000000006</v>
      </c>
      <c r="X16" s="91">
        <f t="shared" si="7"/>
        <v>276.40000000000003</v>
      </c>
      <c r="Y16" s="91">
        <v>270</v>
      </c>
      <c r="Z16" s="92">
        <f t="shared" si="8"/>
        <v>0</v>
      </c>
    </row>
    <row r="17" spans="1:26" s="52" customFormat="1" ht="30" customHeight="1" x14ac:dyDescent="0.25">
      <c r="A17" s="80">
        <v>15</v>
      </c>
      <c r="B17" s="82" t="s">
        <v>125</v>
      </c>
      <c r="C17" s="80">
        <f>1050+34</f>
        <v>1084</v>
      </c>
      <c r="D17" s="80">
        <v>1530</v>
      </c>
      <c r="E17" s="80">
        <f t="shared" si="1"/>
        <v>70.8</v>
      </c>
      <c r="F17" s="80">
        <f t="shared" si="0"/>
        <v>433.6</v>
      </c>
      <c r="G17" s="80">
        <v>270</v>
      </c>
      <c r="H17" s="104">
        <f t="shared" si="2"/>
        <v>5</v>
      </c>
      <c r="I17" s="110" t="s">
        <v>147</v>
      </c>
      <c r="J17" s="112"/>
      <c r="K17" s="86"/>
      <c r="L17" s="79" t="s">
        <v>15</v>
      </c>
      <c r="M17" s="80"/>
      <c r="N17" s="80"/>
      <c r="O17" s="80"/>
      <c r="P17" s="80"/>
      <c r="Q17" s="80"/>
      <c r="R17" s="84"/>
      <c r="S17" s="84"/>
      <c r="T17" s="93"/>
      <c r="U17" s="94"/>
      <c r="V17" s="94"/>
      <c r="W17" s="94"/>
      <c r="X17" s="94"/>
      <c r="Y17" s="94"/>
      <c r="Z17" s="95"/>
    </row>
    <row r="18" spans="1:26" s="52" customFormat="1" ht="30" customHeight="1" x14ac:dyDescent="0.25">
      <c r="A18" s="80">
        <v>16</v>
      </c>
      <c r="B18" s="82" t="s">
        <v>126</v>
      </c>
      <c r="C18" s="80">
        <f>1020+38</f>
        <v>1058</v>
      </c>
      <c r="D18" s="80">
        <v>1515</v>
      </c>
      <c r="E18" s="80">
        <f t="shared" si="1"/>
        <v>69.8</v>
      </c>
      <c r="F18" s="80">
        <f t="shared" si="0"/>
        <v>423.20000000000005</v>
      </c>
      <c r="G18" s="80">
        <v>270</v>
      </c>
      <c r="H18" s="104">
        <f t="shared" si="2"/>
        <v>5</v>
      </c>
      <c r="I18" s="110" t="s">
        <v>148</v>
      </c>
      <c r="J18" s="112"/>
      <c r="K18" s="86"/>
      <c r="L18" s="79" t="s">
        <v>16</v>
      </c>
      <c r="M18" s="80">
        <f>165+12+825+30</f>
        <v>1032</v>
      </c>
      <c r="N18" s="80">
        <f>1140+390</f>
        <v>1530</v>
      </c>
      <c r="O18" s="80">
        <f t="shared" si="12"/>
        <v>67.5</v>
      </c>
      <c r="P18" s="80">
        <f t="shared" si="4"/>
        <v>412.8</v>
      </c>
      <c r="Q18" s="80">
        <v>270</v>
      </c>
      <c r="R18" s="84">
        <f t="shared" si="5"/>
        <v>5</v>
      </c>
      <c r="S18" s="97" t="s">
        <v>82</v>
      </c>
      <c r="T18" s="93"/>
      <c r="U18" s="91">
        <f>825+30</f>
        <v>855</v>
      </c>
      <c r="V18" s="91">
        <v>1140</v>
      </c>
      <c r="W18" s="91">
        <f t="shared" si="13"/>
        <v>75</v>
      </c>
      <c r="X18" s="91">
        <f t="shared" si="7"/>
        <v>342</v>
      </c>
      <c r="Y18" s="91">
        <v>270</v>
      </c>
      <c r="Z18" s="92">
        <f t="shared" si="8"/>
        <v>2</v>
      </c>
    </row>
    <row r="19" spans="1:26" s="52" customFormat="1" ht="30" customHeight="1" x14ac:dyDescent="0.25">
      <c r="A19" s="80">
        <v>17</v>
      </c>
      <c r="B19" s="82" t="s">
        <v>127</v>
      </c>
      <c r="C19" s="80">
        <f>1020+38</f>
        <v>1058</v>
      </c>
      <c r="D19" s="80">
        <v>1515</v>
      </c>
      <c r="E19" s="80">
        <f t="shared" si="1"/>
        <v>69.8</v>
      </c>
      <c r="F19" s="80">
        <f t="shared" si="0"/>
        <v>423.20000000000005</v>
      </c>
      <c r="G19" s="80">
        <v>270</v>
      </c>
      <c r="H19" s="104">
        <f t="shared" si="2"/>
        <v>5</v>
      </c>
      <c r="I19" s="110" t="s">
        <v>148</v>
      </c>
      <c r="J19" s="112"/>
      <c r="K19" s="86"/>
      <c r="L19" s="79" t="s">
        <v>17</v>
      </c>
      <c r="M19" s="80">
        <f>825+30+165+12</f>
        <v>1032</v>
      </c>
      <c r="N19" s="80">
        <f>390+1140</f>
        <v>1530</v>
      </c>
      <c r="O19" s="87">
        <f t="shared" si="12"/>
        <v>67.5</v>
      </c>
      <c r="P19" s="80">
        <f t="shared" si="4"/>
        <v>412.8</v>
      </c>
      <c r="Q19" s="80">
        <v>270</v>
      </c>
      <c r="R19" s="84">
        <f t="shared" si="5"/>
        <v>5</v>
      </c>
      <c r="S19" s="97" t="s">
        <v>81</v>
      </c>
      <c r="T19" s="89"/>
      <c r="U19" s="90">
        <f>825+30</f>
        <v>855</v>
      </c>
      <c r="V19" s="90">
        <v>1140</v>
      </c>
      <c r="W19" s="90">
        <f t="shared" si="13"/>
        <v>75</v>
      </c>
      <c r="X19" s="91">
        <f t="shared" si="7"/>
        <v>342</v>
      </c>
      <c r="Y19" s="91">
        <v>270</v>
      </c>
      <c r="Z19" s="92">
        <f t="shared" si="8"/>
        <v>2</v>
      </c>
    </row>
    <row r="20" spans="1:26" s="52" customFormat="1" ht="30" customHeight="1" x14ac:dyDescent="0.25">
      <c r="A20" s="80">
        <v>18</v>
      </c>
      <c r="B20" s="82" t="s">
        <v>128</v>
      </c>
      <c r="C20" s="80">
        <f>1080+40</f>
        <v>1120</v>
      </c>
      <c r="D20" s="80">
        <v>1545</v>
      </c>
      <c r="E20" s="80">
        <f t="shared" si="1"/>
        <v>72.5</v>
      </c>
      <c r="F20" s="80">
        <f t="shared" si="0"/>
        <v>448</v>
      </c>
      <c r="G20" s="80">
        <v>270</v>
      </c>
      <c r="H20" s="104">
        <f t="shared" si="2"/>
        <v>6</v>
      </c>
      <c r="I20" s="110" t="s">
        <v>149</v>
      </c>
      <c r="J20" s="112"/>
      <c r="K20" s="86"/>
      <c r="L20" s="79" t="s">
        <v>18</v>
      </c>
      <c r="M20" s="80">
        <f>165+12+825+30</f>
        <v>1032</v>
      </c>
      <c r="N20" s="80">
        <f>390+1140</f>
        <v>1530</v>
      </c>
      <c r="O20" s="80">
        <f t="shared" si="12"/>
        <v>67.5</v>
      </c>
      <c r="P20" s="80">
        <f t="shared" si="4"/>
        <v>412.8</v>
      </c>
      <c r="Q20" s="80">
        <v>270</v>
      </c>
      <c r="R20" s="84">
        <f t="shared" si="5"/>
        <v>5</v>
      </c>
      <c r="S20" s="97" t="s">
        <v>86</v>
      </c>
      <c r="T20" s="93"/>
      <c r="U20" s="91">
        <f>825+30</f>
        <v>855</v>
      </c>
      <c r="V20" s="91">
        <v>1140</v>
      </c>
      <c r="W20" s="91">
        <f t="shared" si="13"/>
        <v>75</v>
      </c>
      <c r="X20" s="91">
        <f t="shared" si="7"/>
        <v>342</v>
      </c>
      <c r="Y20" s="91">
        <v>270</v>
      </c>
      <c r="Z20" s="92">
        <f t="shared" si="8"/>
        <v>2</v>
      </c>
    </row>
    <row r="21" spans="1:26" s="52" customFormat="1" ht="26.25" customHeight="1" x14ac:dyDescent="0.25">
      <c r="A21" s="80">
        <v>19</v>
      </c>
      <c r="B21" s="82" t="s">
        <v>129</v>
      </c>
      <c r="C21" s="80"/>
      <c r="D21" s="80"/>
      <c r="E21" s="80"/>
      <c r="F21" s="80"/>
      <c r="G21" s="80"/>
      <c r="H21" s="104"/>
      <c r="I21" s="108"/>
      <c r="J21" s="112"/>
      <c r="K21" s="86"/>
      <c r="L21" s="79" t="s">
        <v>28</v>
      </c>
      <c r="M21" s="80">
        <f>165+12+825+30</f>
        <v>1032</v>
      </c>
      <c r="N21" s="80">
        <f>390+1140</f>
        <v>1530</v>
      </c>
      <c r="O21" s="80">
        <f t="shared" si="12"/>
        <v>67.5</v>
      </c>
      <c r="P21" s="80">
        <f t="shared" si="4"/>
        <v>412.8</v>
      </c>
      <c r="Q21" s="80">
        <v>270</v>
      </c>
      <c r="R21" s="84">
        <f t="shared" si="5"/>
        <v>5</v>
      </c>
      <c r="S21" s="97" t="s">
        <v>80</v>
      </c>
      <c r="T21" s="93"/>
      <c r="U21" s="91">
        <f>825+30</f>
        <v>855</v>
      </c>
      <c r="V21" s="91">
        <v>1140</v>
      </c>
      <c r="W21" s="91">
        <f t="shared" si="13"/>
        <v>75</v>
      </c>
      <c r="X21" s="91">
        <f t="shared" si="7"/>
        <v>342</v>
      </c>
      <c r="Y21" s="91">
        <v>270</v>
      </c>
      <c r="Z21" s="92">
        <f t="shared" si="8"/>
        <v>2</v>
      </c>
    </row>
    <row r="22" spans="1:26" s="52" customFormat="1" ht="31.5" customHeight="1" x14ac:dyDescent="0.25">
      <c r="A22" s="80">
        <v>20</v>
      </c>
      <c r="B22" s="82" t="s">
        <v>130</v>
      </c>
      <c r="C22" s="80">
        <f>1050+34</f>
        <v>1084</v>
      </c>
      <c r="D22" s="80">
        <v>1530</v>
      </c>
      <c r="E22" s="80">
        <f t="shared" si="1"/>
        <v>70.8</v>
      </c>
      <c r="F22" s="80">
        <f t="shared" si="0"/>
        <v>433.6</v>
      </c>
      <c r="G22" s="80">
        <v>270</v>
      </c>
      <c r="H22" s="104">
        <f t="shared" si="2"/>
        <v>5</v>
      </c>
      <c r="I22" s="110" t="s">
        <v>149</v>
      </c>
      <c r="J22" s="112"/>
      <c r="K22" s="86"/>
      <c r="L22" s="79" t="s">
        <v>19</v>
      </c>
      <c r="M22" s="80">
        <f>165+12+795+22</f>
        <v>994</v>
      </c>
      <c r="N22" s="80">
        <f>1125+390</f>
        <v>1515</v>
      </c>
      <c r="O22" s="80">
        <f t="shared" si="12"/>
        <v>65.599999999999994</v>
      </c>
      <c r="P22" s="80">
        <f t="shared" si="4"/>
        <v>397.6</v>
      </c>
      <c r="Q22" s="80">
        <v>270</v>
      </c>
      <c r="R22" s="84">
        <f t="shared" si="5"/>
        <v>4</v>
      </c>
      <c r="S22" s="97" t="s">
        <v>83</v>
      </c>
      <c r="T22" s="93"/>
      <c r="U22" s="94"/>
      <c r="V22" s="94"/>
      <c r="W22" s="94"/>
      <c r="X22" s="94"/>
      <c r="Y22" s="94"/>
      <c r="Z22" s="95"/>
    </row>
    <row r="23" spans="1:26" s="52" customFormat="1" ht="31.5" customHeight="1" x14ac:dyDescent="0.25">
      <c r="A23" s="80">
        <v>21</v>
      </c>
      <c r="B23" s="82" t="s">
        <v>131</v>
      </c>
      <c r="C23" s="80">
        <f>1080+34</f>
        <v>1114</v>
      </c>
      <c r="D23" s="80">
        <v>1545</v>
      </c>
      <c r="E23" s="80">
        <f t="shared" si="1"/>
        <v>72.099999999999994</v>
      </c>
      <c r="F23" s="80">
        <f t="shared" si="0"/>
        <v>445.6</v>
      </c>
      <c r="G23" s="80">
        <v>270</v>
      </c>
      <c r="H23" s="104">
        <f t="shared" si="2"/>
        <v>6</v>
      </c>
      <c r="I23" s="110" t="s">
        <v>149</v>
      </c>
      <c r="J23" s="112"/>
      <c r="K23" s="86"/>
      <c r="L23" s="79" t="s">
        <v>20</v>
      </c>
      <c r="M23" s="80">
        <f>165+12+210+10+555+14+60+2</f>
        <v>1028</v>
      </c>
      <c r="N23" s="80">
        <f>390+315+735+90</f>
        <v>1530</v>
      </c>
      <c r="O23" s="80">
        <f t="shared" si="12"/>
        <v>67.2</v>
      </c>
      <c r="P23" s="80">
        <f t="shared" si="4"/>
        <v>411.20000000000005</v>
      </c>
      <c r="Q23" s="80">
        <v>270</v>
      </c>
      <c r="R23" s="84">
        <f t="shared" si="5"/>
        <v>5</v>
      </c>
      <c r="S23" s="97" t="s">
        <v>85</v>
      </c>
      <c r="T23" s="93"/>
      <c r="U23" s="94"/>
      <c r="V23" s="94"/>
      <c r="W23" s="94"/>
      <c r="X23" s="94"/>
      <c r="Y23" s="94"/>
      <c r="Z23" s="95"/>
    </row>
    <row r="24" spans="1:26" s="52" customFormat="1" ht="26.25" customHeight="1" x14ac:dyDescent="0.25">
      <c r="A24" s="80">
        <v>22</v>
      </c>
      <c r="B24" s="82" t="s">
        <v>132</v>
      </c>
      <c r="C24" s="80"/>
      <c r="D24" s="80"/>
      <c r="E24" s="80"/>
      <c r="F24" s="80"/>
      <c r="G24" s="80"/>
      <c r="H24" s="104"/>
      <c r="I24" s="108"/>
      <c r="J24" s="112"/>
      <c r="K24" s="86"/>
      <c r="L24" s="79" t="s">
        <v>29</v>
      </c>
      <c r="M24" s="80">
        <f>165+12+795+24</f>
        <v>996</v>
      </c>
      <c r="N24" s="80">
        <f>390+1125</f>
        <v>1515</v>
      </c>
      <c r="O24" s="80">
        <f t="shared" si="12"/>
        <v>65.7</v>
      </c>
      <c r="P24" s="80">
        <f t="shared" si="4"/>
        <v>398.40000000000003</v>
      </c>
      <c r="Q24" s="80">
        <v>270</v>
      </c>
      <c r="R24" s="84">
        <f t="shared" si="5"/>
        <v>4</v>
      </c>
      <c r="S24" s="97" t="s">
        <v>84</v>
      </c>
      <c r="T24" s="93"/>
      <c r="U24" s="94"/>
      <c r="V24" s="94"/>
      <c r="W24" s="94"/>
      <c r="X24" s="94"/>
      <c r="Y24" s="94"/>
      <c r="Z24" s="95"/>
    </row>
    <row r="25" spans="1:26" s="52" customFormat="1" ht="26.25" customHeight="1" x14ac:dyDescent="0.25">
      <c r="A25" s="80">
        <v>23</v>
      </c>
      <c r="B25" s="82" t="s">
        <v>133</v>
      </c>
      <c r="C25" s="87">
        <f>780+28</f>
        <v>808</v>
      </c>
      <c r="D25" s="87">
        <v>1380</v>
      </c>
      <c r="E25" s="83">
        <f t="shared" si="1"/>
        <v>58.6</v>
      </c>
      <c r="F25" s="80">
        <f t="shared" si="0"/>
        <v>323.20000000000005</v>
      </c>
      <c r="G25" s="80">
        <v>270</v>
      </c>
      <c r="H25" s="104">
        <f t="shared" si="2"/>
        <v>2</v>
      </c>
      <c r="I25" s="107" t="s">
        <v>154</v>
      </c>
      <c r="J25" s="112"/>
      <c r="K25" s="86"/>
      <c r="L25" s="79" t="s">
        <v>21</v>
      </c>
      <c r="M25" s="80">
        <f>165+12+630+22</f>
        <v>829</v>
      </c>
      <c r="N25" s="80">
        <f>390+1050</f>
        <v>1440</v>
      </c>
      <c r="O25" s="88">
        <f t="shared" si="12"/>
        <v>57.6</v>
      </c>
      <c r="P25" s="80">
        <f t="shared" si="4"/>
        <v>331.6</v>
      </c>
      <c r="Q25" s="80">
        <v>270</v>
      </c>
      <c r="R25" s="84">
        <f t="shared" si="5"/>
        <v>2</v>
      </c>
      <c r="S25" s="85" t="s">
        <v>88</v>
      </c>
      <c r="T25" s="93"/>
      <c r="U25" s="91">
        <f>630+22</f>
        <v>652</v>
      </c>
      <c r="V25" s="91">
        <v>1050</v>
      </c>
      <c r="W25" s="91">
        <f t="shared" si="13"/>
        <v>62.1</v>
      </c>
      <c r="X25" s="91">
        <f t="shared" si="7"/>
        <v>260.8</v>
      </c>
      <c r="Y25" s="91">
        <v>270</v>
      </c>
      <c r="Z25" s="92">
        <f t="shared" si="8"/>
        <v>0</v>
      </c>
    </row>
    <row r="26" spans="1:26" s="52" customFormat="1" ht="26.25" customHeight="1" x14ac:dyDescent="0.25">
      <c r="A26" s="80">
        <v>24</v>
      </c>
      <c r="B26" s="82" t="s">
        <v>134</v>
      </c>
      <c r="C26" s="80">
        <f>810+34</f>
        <v>844</v>
      </c>
      <c r="D26" s="80">
        <v>1395</v>
      </c>
      <c r="E26" s="80">
        <f t="shared" si="1"/>
        <v>60.5</v>
      </c>
      <c r="F26" s="80">
        <f t="shared" si="0"/>
        <v>337.6</v>
      </c>
      <c r="G26" s="80">
        <v>270</v>
      </c>
      <c r="H26" s="104">
        <f t="shared" si="2"/>
        <v>2</v>
      </c>
      <c r="I26" s="119" t="s">
        <v>78</v>
      </c>
      <c r="J26" s="112"/>
      <c r="K26" s="86"/>
      <c r="L26" s="79" t="s">
        <v>22</v>
      </c>
      <c r="M26" s="80">
        <f>720+20+165+12</f>
        <v>917</v>
      </c>
      <c r="N26" s="80">
        <f>390+1080</f>
        <v>1470</v>
      </c>
      <c r="O26" s="87">
        <f t="shared" si="12"/>
        <v>62.4</v>
      </c>
      <c r="P26" s="80">
        <f t="shared" si="4"/>
        <v>366.8</v>
      </c>
      <c r="Q26" s="80">
        <v>270</v>
      </c>
      <c r="R26" s="84">
        <f t="shared" si="5"/>
        <v>3</v>
      </c>
      <c r="S26" s="85" t="s">
        <v>72</v>
      </c>
      <c r="T26" s="89"/>
      <c r="U26" s="96"/>
      <c r="V26" s="96"/>
      <c r="W26" s="96"/>
      <c r="X26" s="94"/>
      <c r="Y26" s="94"/>
      <c r="Z26" s="95"/>
    </row>
    <row r="27" spans="1:26" s="52" customFormat="1" ht="26.25" customHeight="1" x14ac:dyDescent="0.25">
      <c r="A27" s="80">
        <v>25</v>
      </c>
      <c r="B27" s="82" t="s">
        <v>135</v>
      </c>
      <c r="C27" s="80"/>
      <c r="D27" s="80"/>
      <c r="E27" s="80"/>
      <c r="F27" s="80"/>
      <c r="G27" s="80"/>
      <c r="H27" s="104"/>
      <c r="I27" s="108"/>
      <c r="J27" s="112"/>
      <c r="K27" s="86"/>
      <c r="L27" s="79" t="s">
        <v>59</v>
      </c>
      <c r="M27" s="80">
        <f>645+24+165+12</f>
        <v>846</v>
      </c>
      <c r="N27" s="80">
        <f>390+1050</f>
        <v>1440</v>
      </c>
      <c r="O27" s="88">
        <f t="shared" si="12"/>
        <v>58.8</v>
      </c>
      <c r="P27" s="80">
        <f t="shared" si="4"/>
        <v>338.40000000000003</v>
      </c>
      <c r="Q27" s="80">
        <v>270</v>
      </c>
      <c r="R27" s="84">
        <f t="shared" si="5"/>
        <v>2</v>
      </c>
      <c r="S27" s="85" t="s">
        <v>87</v>
      </c>
      <c r="T27" s="89"/>
      <c r="U27" s="90">
        <f>645+24</f>
        <v>669</v>
      </c>
      <c r="V27" s="90">
        <v>1050</v>
      </c>
      <c r="W27" s="90">
        <f t="shared" ref="W27" si="15">ROUND(U27*100/V27,1)</f>
        <v>63.7</v>
      </c>
      <c r="X27" s="91">
        <f t="shared" si="7"/>
        <v>267.60000000000002</v>
      </c>
      <c r="Y27" s="91">
        <v>270</v>
      </c>
      <c r="Z27" s="92">
        <f t="shared" si="8"/>
        <v>0</v>
      </c>
    </row>
    <row r="28" spans="1:26" s="52" customFormat="1" ht="26.25" customHeight="1" x14ac:dyDescent="0.25">
      <c r="A28" s="80">
        <v>26</v>
      </c>
      <c r="B28" s="82" t="s">
        <v>136</v>
      </c>
      <c r="C28" s="80">
        <f>840+36</f>
        <v>876</v>
      </c>
      <c r="D28" s="80">
        <v>1455</v>
      </c>
      <c r="E28" s="80">
        <f t="shared" si="1"/>
        <v>60.2</v>
      </c>
      <c r="F28" s="80">
        <f t="shared" si="0"/>
        <v>350.40000000000003</v>
      </c>
      <c r="G28" s="80">
        <v>270</v>
      </c>
      <c r="H28" s="104">
        <f t="shared" si="2"/>
        <v>3</v>
      </c>
      <c r="I28" s="107" t="s">
        <v>62</v>
      </c>
      <c r="J28" s="112"/>
      <c r="K28" s="86"/>
      <c r="L28" s="79" t="s">
        <v>23</v>
      </c>
      <c r="M28" s="80">
        <f>165+12+615+22</f>
        <v>814</v>
      </c>
      <c r="N28" s="80">
        <f>1035+390</f>
        <v>1425</v>
      </c>
      <c r="O28" s="88">
        <f t="shared" si="12"/>
        <v>57.1</v>
      </c>
      <c r="P28" s="80">
        <f t="shared" si="4"/>
        <v>325.60000000000002</v>
      </c>
      <c r="Q28" s="80">
        <v>270</v>
      </c>
      <c r="R28" s="84">
        <f t="shared" si="5"/>
        <v>2</v>
      </c>
      <c r="S28" s="85" t="s">
        <v>89</v>
      </c>
      <c r="T28" s="93"/>
      <c r="U28" s="91">
        <f>615+22</f>
        <v>637</v>
      </c>
      <c r="V28" s="91">
        <v>1035</v>
      </c>
      <c r="W28" s="91">
        <f t="shared" si="13"/>
        <v>61.5</v>
      </c>
      <c r="X28" s="91">
        <f t="shared" si="7"/>
        <v>254.8</v>
      </c>
      <c r="Y28" s="91">
        <v>270</v>
      </c>
      <c r="Z28" s="92">
        <f t="shared" si="8"/>
        <v>-1</v>
      </c>
    </row>
    <row r="29" spans="1:26" s="52" customFormat="1" ht="26.25" customHeight="1" x14ac:dyDescent="0.25">
      <c r="A29" s="80">
        <v>27</v>
      </c>
      <c r="B29" s="82" t="s">
        <v>137</v>
      </c>
      <c r="C29" s="80">
        <f>1050+36</f>
        <v>1086</v>
      </c>
      <c r="D29" s="80">
        <v>1530</v>
      </c>
      <c r="E29" s="80">
        <f t="shared" si="1"/>
        <v>71</v>
      </c>
      <c r="F29" s="80">
        <f t="shared" si="0"/>
        <v>434.40000000000003</v>
      </c>
      <c r="G29" s="80">
        <v>270</v>
      </c>
      <c r="H29" s="104">
        <f t="shared" si="2"/>
        <v>5</v>
      </c>
      <c r="I29" s="107" t="s">
        <v>153</v>
      </c>
      <c r="J29" s="112"/>
      <c r="K29" s="86"/>
      <c r="L29" s="79" t="s">
        <v>24</v>
      </c>
      <c r="M29" s="80">
        <f>165+12+825+20</f>
        <v>1022</v>
      </c>
      <c r="N29" s="80">
        <f>1140+390</f>
        <v>1530</v>
      </c>
      <c r="O29" s="80">
        <f t="shared" si="12"/>
        <v>66.8</v>
      </c>
      <c r="P29" s="80">
        <f t="shared" si="4"/>
        <v>408.8</v>
      </c>
      <c r="Q29" s="80">
        <v>270</v>
      </c>
      <c r="R29" s="84">
        <f t="shared" si="5"/>
        <v>5</v>
      </c>
      <c r="S29" s="85" t="s">
        <v>74</v>
      </c>
      <c r="T29" s="93"/>
      <c r="U29" s="91">
        <f>825+20</f>
        <v>845</v>
      </c>
      <c r="V29" s="91">
        <v>1140</v>
      </c>
      <c r="W29" s="91">
        <f t="shared" si="13"/>
        <v>74.099999999999994</v>
      </c>
      <c r="X29" s="91">
        <f t="shared" si="7"/>
        <v>338</v>
      </c>
      <c r="Y29" s="91">
        <v>271</v>
      </c>
      <c r="Z29" s="92">
        <f t="shared" si="8"/>
        <v>2</v>
      </c>
    </row>
    <row r="30" spans="1:26" s="52" customFormat="1" ht="26.25" customHeight="1" x14ac:dyDescent="0.25">
      <c r="A30" s="131" t="s">
        <v>92</v>
      </c>
      <c r="B30" s="131"/>
      <c r="C30" s="99" t="s">
        <v>95</v>
      </c>
      <c r="D30" s="79"/>
      <c r="E30" s="79"/>
      <c r="F30" s="80"/>
      <c r="G30" s="80"/>
      <c r="H30" s="87">
        <f>COUNT(H3:H29)</f>
        <v>23</v>
      </c>
      <c r="I30" s="80"/>
      <c r="J30" s="86"/>
      <c r="K30" s="86"/>
      <c r="L30" s="98" t="s">
        <v>93</v>
      </c>
      <c r="M30" s="99" t="s">
        <v>101</v>
      </c>
      <c r="N30" s="80"/>
      <c r="O30" s="80"/>
      <c r="P30" s="80"/>
      <c r="Q30" s="80"/>
      <c r="R30" s="84"/>
      <c r="S30" s="84"/>
      <c r="T30" s="93"/>
      <c r="U30" s="100" t="s">
        <v>93</v>
      </c>
      <c r="V30" s="101"/>
      <c r="W30" s="102" t="s">
        <v>96</v>
      </c>
      <c r="X30" s="94"/>
      <c r="Y30" s="94"/>
      <c r="Z30" s="95"/>
    </row>
    <row r="31" spans="1:26" s="5" customFormat="1" ht="18.75" hidden="1" customHeight="1" x14ac:dyDescent="0.25">
      <c r="A31" s="57"/>
      <c r="B31" s="57"/>
      <c r="C31" s="11"/>
      <c r="D31" s="11"/>
      <c r="E31" s="11"/>
      <c r="F31" s="11"/>
      <c r="G31" s="11"/>
      <c r="H31" s="11"/>
      <c r="I31" s="11"/>
      <c r="J31" s="25"/>
      <c r="K31" s="25"/>
      <c r="L31" s="19"/>
      <c r="M31" s="55"/>
      <c r="N31" s="55"/>
      <c r="O31" s="55"/>
      <c r="P31" s="55"/>
      <c r="Q31" s="55"/>
      <c r="R31" s="56"/>
      <c r="S31" s="56"/>
      <c r="T31" s="9"/>
      <c r="U31" s="65"/>
      <c r="V31" s="65"/>
      <c r="W31" s="65"/>
      <c r="X31" s="65"/>
      <c r="Y31" s="65"/>
      <c r="Z31" s="66"/>
    </row>
    <row r="32" spans="1:26" s="5" customFormat="1" ht="18.75" hidden="1" customHeight="1" x14ac:dyDescent="0.25">
      <c r="A32" s="57"/>
      <c r="B32" s="57"/>
      <c r="C32" s="11"/>
      <c r="D32" s="11"/>
      <c r="E32" s="11"/>
      <c r="F32" s="11"/>
      <c r="G32" s="11"/>
      <c r="H32" s="11"/>
      <c r="I32" s="11"/>
      <c r="J32" s="25"/>
      <c r="K32" s="23"/>
      <c r="L32" s="57" t="s">
        <v>97</v>
      </c>
      <c r="M32" s="11">
        <f>795+26</f>
        <v>821</v>
      </c>
      <c r="N32" s="11">
        <v>1275</v>
      </c>
      <c r="O32" s="15">
        <f t="shared" ref="O32:O34" si="16">ROUND(M32*100/N32,1)</f>
        <v>64.400000000000006</v>
      </c>
      <c r="P32" s="11">
        <f t="shared" si="4"/>
        <v>328.40000000000003</v>
      </c>
      <c r="Q32" s="11">
        <v>270</v>
      </c>
      <c r="R32" s="10">
        <f t="shared" si="5"/>
        <v>2</v>
      </c>
      <c r="S32" s="10"/>
      <c r="T32" s="47"/>
      <c r="U32" s="67"/>
      <c r="V32" s="67"/>
      <c r="W32" s="67"/>
      <c r="X32" s="65"/>
      <c r="Y32" s="65"/>
      <c r="Z32" s="66"/>
    </row>
    <row r="33" spans="1:26" s="5" customFormat="1" ht="18.75" hidden="1" customHeight="1" x14ac:dyDescent="0.25">
      <c r="A33" s="57"/>
      <c r="B33" s="114" t="s">
        <v>104</v>
      </c>
      <c r="C33" s="11"/>
      <c r="D33" s="11"/>
      <c r="E33" s="11"/>
      <c r="F33" s="11"/>
      <c r="G33" s="11"/>
      <c r="H33" s="11"/>
      <c r="I33" s="11"/>
      <c r="J33" s="25"/>
      <c r="K33" s="23"/>
      <c r="L33" s="57" t="s">
        <v>98</v>
      </c>
      <c r="M33" s="11">
        <f>855+28</f>
        <v>883</v>
      </c>
      <c r="N33" s="11">
        <v>1305</v>
      </c>
      <c r="O33" s="11">
        <f t="shared" si="16"/>
        <v>67.7</v>
      </c>
      <c r="P33" s="11">
        <f t="shared" si="4"/>
        <v>353.20000000000005</v>
      </c>
      <c r="Q33" s="11">
        <v>270</v>
      </c>
      <c r="R33" s="10">
        <f t="shared" si="5"/>
        <v>3</v>
      </c>
      <c r="S33" s="10"/>
      <c r="T33" s="9"/>
      <c r="U33" s="65"/>
      <c r="V33" s="65"/>
      <c r="W33" s="65"/>
      <c r="X33" s="65"/>
      <c r="Y33" s="65"/>
      <c r="Z33" s="66"/>
    </row>
    <row r="34" spans="1:26" s="5" customFormat="1" ht="18.75" hidden="1" customHeight="1" x14ac:dyDescent="0.25">
      <c r="A34" s="57"/>
      <c r="B34" s="115" t="s">
        <v>102</v>
      </c>
      <c r="C34" s="11"/>
      <c r="D34" s="11"/>
      <c r="E34" s="11"/>
      <c r="F34" s="11"/>
      <c r="G34" s="11"/>
      <c r="H34" s="11"/>
      <c r="I34" s="11"/>
      <c r="J34" s="25"/>
      <c r="K34" s="23"/>
      <c r="L34" s="57" t="s">
        <v>99</v>
      </c>
      <c r="M34" s="11">
        <f>165+12+795+16</f>
        <v>988</v>
      </c>
      <c r="N34" s="11">
        <f>390+1125</f>
        <v>1515</v>
      </c>
      <c r="O34" s="15">
        <f t="shared" si="16"/>
        <v>65.2</v>
      </c>
      <c r="P34" s="11">
        <f t="shared" si="4"/>
        <v>395.20000000000005</v>
      </c>
      <c r="Q34" s="11">
        <v>270</v>
      </c>
      <c r="R34" s="10">
        <f t="shared" si="5"/>
        <v>4</v>
      </c>
      <c r="S34" s="10"/>
      <c r="T34" s="47"/>
      <c r="U34" s="67"/>
      <c r="V34" s="67"/>
      <c r="W34" s="67"/>
      <c r="X34" s="65"/>
      <c r="Y34" s="65"/>
      <c r="Z34" s="66"/>
    </row>
    <row r="35" spans="1:26" s="5" customFormat="1" ht="18.75" hidden="1" customHeight="1" x14ac:dyDescent="0.25">
      <c r="A35" s="57"/>
      <c r="B35" s="115" t="s">
        <v>103</v>
      </c>
      <c r="C35" s="11"/>
      <c r="D35" s="11"/>
      <c r="E35" s="11"/>
      <c r="F35" s="11"/>
      <c r="G35" s="11"/>
      <c r="H35" s="11"/>
      <c r="I35" s="11"/>
      <c r="J35" s="25"/>
      <c r="K35" s="25"/>
      <c r="L35" s="43" t="s">
        <v>93</v>
      </c>
      <c r="M35" s="54" t="s">
        <v>100</v>
      </c>
      <c r="N35" s="11"/>
      <c r="O35" s="49"/>
      <c r="P35" s="11"/>
      <c r="Q35" s="11"/>
      <c r="R35" s="11"/>
      <c r="S35" s="11"/>
      <c r="T35" s="9"/>
      <c r="U35" s="74" t="s">
        <v>93</v>
      </c>
      <c r="V35" s="76"/>
      <c r="W35" s="75" t="s">
        <v>100</v>
      </c>
      <c r="X35" s="77"/>
      <c r="Y35" s="77"/>
      <c r="Z35" s="77"/>
    </row>
    <row r="36" spans="1:26" s="5" customFormat="1" ht="11.25" hidden="1" customHeight="1" x14ac:dyDescent="0.25">
      <c r="A36" s="57"/>
      <c r="B36" s="11"/>
      <c r="C36" s="11"/>
      <c r="D36" s="11"/>
      <c r="E36" s="49"/>
      <c r="F36" s="11"/>
      <c r="G36" s="11"/>
      <c r="H36" s="11"/>
      <c r="I36" s="11"/>
      <c r="J36" s="25"/>
      <c r="K36" s="25"/>
      <c r="L36" s="19"/>
      <c r="M36" s="9"/>
      <c r="N36" s="9"/>
      <c r="O36" s="9"/>
      <c r="P36" s="9"/>
      <c r="Q36" s="9"/>
      <c r="R36" s="9"/>
      <c r="S36" s="9"/>
      <c r="T36" s="9"/>
      <c r="U36" s="68"/>
      <c r="V36" s="68"/>
      <c r="W36" s="68"/>
      <c r="X36" s="68"/>
      <c r="Y36" s="68"/>
      <c r="Z36" s="68"/>
    </row>
    <row r="37" spans="1:26" s="5" customFormat="1" ht="18.75" hidden="1" customHeight="1" x14ac:dyDescent="0.25">
      <c r="A37" s="57"/>
      <c r="B37" s="114" t="s">
        <v>110</v>
      </c>
      <c r="C37" s="11"/>
      <c r="D37" s="11"/>
      <c r="E37" s="11"/>
      <c r="F37" s="11"/>
      <c r="G37" s="11"/>
      <c r="H37" s="11"/>
      <c r="I37" s="11"/>
      <c r="J37" s="25"/>
      <c r="K37" s="25"/>
      <c r="L37" s="28" t="s">
        <v>107</v>
      </c>
      <c r="M37" s="9"/>
      <c r="N37" s="9"/>
      <c r="O37" s="9"/>
      <c r="P37" s="9"/>
      <c r="Q37" s="9"/>
      <c r="R37" s="9"/>
      <c r="S37" s="9"/>
      <c r="T37" s="9"/>
      <c r="U37" s="68"/>
      <c r="V37" s="68"/>
      <c r="W37" s="68"/>
      <c r="X37" s="68"/>
      <c r="Y37" s="68"/>
      <c r="Z37" s="68"/>
    </row>
    <row r="38" spans="1:26" s="5" customFormat="1" ht="20.25" hidden="1" customHeight="1" x14ac:dyDescent="0.25">
      <c r="A38" s="57"/>
      <c r="B38" s="116" t="s">
        <v>111</v>
      </c>
      <c r="C38" s="57"/>
      <c r="D38" s="57"/>
      <c r="E38" s="116"/>
      <c r="F38" s="57"/>
      <c r="G38" s="57"/>
      <c r="H38" s="57"/>
      <c r="I38" s="11"/>
      <c r="J38" s="25"/>
      <c r="K38" s="19"/>
      <c r="L38" s="59" t="s">
        <v>105</v>
      </c>
      <c r="M38" s="37"/>
      <c r="N38" s="37"/>
      <c r="O38" s="37"/>
      <c r="P38" s="37"/>
      <c r="Q38" s="60">
        <v>0.76190000000000002</v>
      </c>
      <c r="S38" s="62" t="s">
        <v>108</v>
      </c>
      <c r="U38" s="69"/>
      <c r="V38" s="69"/>
      <c r="W38" s="69"/>
      <c r="X38" s="69"/>
      <c r="Y38" s="70">
        <v>1</v>
      </c>
      <c r="Z38" s="69"/>
    </row>
    <row r="39" spans="1:26" ht="20.25" hidden="1" customHeight="1" x14ac:dyDescent="0.25">
      <c r="L39" s="59" t="s">
        <v>106</v>
      </c>
      <c r="M39" s="37"/>
      <c r="N39" s="37"/>
      <c r="O39" s="37"/>
      <c r="P39" s="37"/>
      <c r="Q39" s="61">
        <v>0.79159999999999997</v>
      </c>
      <c r="S39" s="62" t="s">
        <v>109</v>
      </c>
      <c r="Y39" s="72">
        <v>1</v>
      </c>
    </row>
    <row r="40" spans="1:26" ht="18.75" customHeight="1" x14ac:dyDescent="0.25"/>
    <row r="41" spans="1:26" ht="18.75" customHeight="1" x14ac:dyDescent="0.25"/>
    <row r="42" spans="1:26" ht="18.75" customHeight="1" x14ac:dyDescent="0.25"/>
    <row r="43" spans="1:26" ht="18.75" customHeight="1" x14ac:dyDescent="0.25"/>
    <row r="44" spans="1:26" ht="18.75" customHeight="1" x14ac:dyDescent="0.25"/>
    <row r="45" spans="1:26" ht="18.75" customHeight="1" x14ac:dyDescent="0.25"/>
    <row r="46" spans="1:26" ht="18.75" customHeight="1" x14ac:dyDescent="0.25"/>
    <row r="47" spans="1:26" ht="18.75" customHeight="1" x14ac:dyDescent="0.25"/>
    <row r="48" spans="1:26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3">
    <mergeCell ref="K1:Y1"/>
    <mergeCell ref="A30:B30"/>
    <mergeCell ref="A1:I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opLeftCell="A10" zoomScale="115" zoomScaleNormal="115" workbookViewId="0">
      <selection activeCell="E6" sqref="E6"/>
    </sheetView>
  </sheetViews>
  <sheetFormatPr defaultRowHeight="15" x14ac:dyDescent="0.25"/>
  <cols>
    <col min="1" max="1" width="3.5703125" style="3" customWidth="1"/>
    <col min="2" max="2" width="29.28515625" style="3" customWidth="1"/>
    <col min="3" max="4" width="8.7109375" style="3" customWidth="1"/>
    <col min="5" max="5" width="10.28515625" style="3" customWidth="1"/>
    <col min="6" max="6" width="8.85546875" style="3" customWidth="1"/>
    <col min="7" max="7" width="8.85546875" style="4" customWidth="1"/>
    <col min="8" max="8" width="9.5703125" style="3" customWidth="1"/>
    <col min="9" max="9" width="13" style="3" customWidth="1"/>
    <col min="10" max="10" width="8.42578125" style="3" customWidth="1"/>
    <col min="11" max="16384" width="9.140625" style="3"/>
  </cols>
  <sheetData>
    <row r="1" spans="1:10" s="2" customFormat="1" ht="45.75" customHeight="1" x14ac:dyDescent="0.25">
      <c r="A1" s="134" t="s">
        <v>144</v>
      </c>
      <c r="B1" s="135"/>
      <c r="C1" s="135"/>
      <c r="D1" s="135"/>
      <c r="E1" s="135"/>
      <c r="F1" s="135"/>
      <c r="G1" s="135"/>
      <c r="H1" s="135"/>
      <c r="I1" s="136"/>
      <c r="J1" s="113"/>
    </row>
    <row r="2" spans="1:10" s="52" customFormat="1" ht="51.75" customHeight="1" x14ac:dyDescent="0.25">
      <c r="A2" s="81" t="s">
        <v>138</v>
      </c>
      <c r="B2" s="50" t="s">
        <v>52</v>
      </c>
      <c r="C2" s="50" t="s">
        <v>139</v>
      </c>
      <c r="D2" s="50" t="s">
        <v>53</v>
      </c>
      <c r="E2" s="50" t="s">
        <v>140</v>
      </c>
      <c r="F2" s="51" t="s">
        <v>55</v>
      </c>
      <c r="G2" s="51" t="s">
        <v>56</v>
      </c>
      <c r="H2" s="103" t="s">
        <v>57</v>
      </c>
      <c r="I2" s="106" t="s">
        <v>141</v>
      </c>
    </row>
    <row r="3" spans="1:10" s="52" customFormat="1" ht="23.25" customHeight="1" x14ac:dyDescent="0.25">
      <c r="A3" s="80">
        <v>1</v>
      </c>
      <c r="B3" s="82" t="s">
        <v>112</v>
      </c>
      <c r="C3" s="80">
        <f>645+20+165+12</f>
        <v>842</v>
      </c>
      <c r="D3" s="80">
        <f>390+1050</f>
        <v>1440</v>
      </c>
      <c r="E3" s="88">
        <f>ROUND(C3*100/D3,1)</f>
        <v>58.5</v>
      </c>
      <c r="F3" s="80">
        <f>C3*0.4</f>
        <v>336.8</v>
      </c>
      <c r="G3" s="80">
        <v>270</v>
      </c>
      <c r="H3" s="104">
        <f>ROUND((F3-G3)/30,0)</f>
        <v>2</v>
      </c>
      <c r="I3" s="107" t="s">
        <v>90</v>
      </c>
      <c r="J3" s="89"/>
    </row>
    <row r="4" spans="1:10" s="52" customFormat="1" ht="23.25" customHeight="1" x14ac:dyDescent="0.25">
      <c r="A4" s="80">
        <v>2</v>
      </c>
      <c r="B4" s="82" t="s">
        <v>113</v>
      </c>
      <c r="C4" s="80">
        <f>795+16+165+12</f>
        <v>988</v>
      </c>
      <c r="D4" s="80">
        <f>390+1125</f>
        <v>1515</v>
      </c>
      <c r="E4" s="80">
        <f t="shared" ref="E4:E7" si="0">ROUND(C4*100/D4,1)</f>
        <v>65.2</v>
      </c>
      <c r="F4" s="80">
        <f t="shared" ref="F4:F34" si="1">C4*0.4</f>
        <v>395.20000000000005</v>
      </c>
      <c r="G4" s="80">
        <v>270</v>
      </c>
      <c r="H4" s="104">
        <f t="shared" ref="H4:H34" si="2">ROUND((F4-G4)/30,0)</f>
        <v>4</v>
      </c>
      <c r="I4" s="107" t="s">
        <v>78</v>
      </c>
      <c r="J4" s="89"/>
    </row>
    <row r="5" spans="1:10" s="52" customFormat="1" ht="23.25" customHeight="1" x14ac:dyDescent="0.25">
      <c r="A5" s="80">
        <v>3</v>
      </c>
      <c r="B5" s="82" t="s">
        <v>114</v>
      </c>
      <c r="C5" s="80">
        <f>165+12+735+18</f>
        <v>930</v>
      </c>
      <c r="D5" s="80">
        <f>1095+390</f>
        <v>1485</v>
      </c>
      <c r="E5" s="80">
        <f t="shared" si="0"/>
        <v>62.6</v>
      </c>
      <c r="F5" s="80">
        <f t="shared" si="1"/>
        <v>372</v>
      </c>
      <c r="G5" s="80">
        <v>270</v>
      </c>
      <c r="H5" s="104">
        <f t="shared" si="2"/>
        <v>3</v>
      </c>
      <c r="I5" s="107" t="s">
        <v>77</v>
      </c>
      <c r="J5" s="89"/>
    </row>
    <row r="6" spans="1:10" s="52" customFormat="1" ht="23.25" customHeight="1" x14ac:dyDescent="0.25">
      <c r="A6" s="80">
        <v>4</v>
      </c>
      <c r="B6" s="82" t="s">
        <v>115</v>
      </c>
      <c r="C6" s="80"/>
      <c r="D6" s="80"/>
      <c r="E6" s="80"/>
      <c r="F6" s="80"/>
      <c r="G6" s="80"/>
      <c r="H6" s="104"/>
      <c r="I6" s="107"/>
      <c r="J6" s="89"/>
    </row>
    <row r="7" spans="1:10" s="52" customFormat="1" ht="23.25" customHeight="1" x14ac:dyDescent="0.25">
      <c r="A7" s="80">
        <v>5</v>
      </c>
      <c r="B7" s="82" t="s">
        <v>116</v>
      </c>
      <c r="C7" s="80">
        <f>165+12+795+16</f>
        <v>988</v>
      </c>
      <c r="D7" s="80">
        <f>390+1125</f>
        <v>1515</v>
      </c>
      <c r="E7" s="80">
        <f t="shared" si="0"/>
        <v>65.2</v>
      </c>
      <c r="F7" s="80">
        <f t="shared" si="1"/>
        <v>395.20000000000005</v>
      </c>
      <c r="G7" s="80">
        <v>270</v>
      </c>
      <c r="H7" s="104">
        <f t="shared" si="2"/>
        <v>4</v>
      </c>
      <c r="I7" s="107" t="s">
        <v>78</v>
      </c>
      <c r="J7" s="89"/>
    </row>
    <row r="8" spans="1:10" s="52" customFormat="1" ht="23.25" customHeight="1" x14ac:dyDescent="0.25">
      <c r="A8" s="80">
        <v>6</v>
      </c>
      <c r="B8" s="82" t="s">
        <v>117</v>
      </c>
      <c r="C8" s="80"/>
      <c r="D8" s="80"/>
      <c r="E8" s="87"/>
      <c r="F8" s="80"/>
      <c r="G8" s="80"/>
      <c r="H8" s="104"/>
      <c r="I8" s="108"/>
      <c r="J8" s="89"/>
    </row>
    <row r="9" spans="1:10" s="52" customFormat="1" ht="23.25" customHeight="1" x14ac:dyDescent="0.25">
      <c r="A9" s="80">
        <v>7</v>
      </c>
      <c r="B9" s="82" t="s">
        <v>118</v>
      </c>
      <c r="C9" s="80">
        <f>165+12+675+22</f>
        <v>874</v>
      </c>
      <c r="D9" s="80">
        <f>390+1065</f>
        <v>1455</v>
      </c>
      <c r="E9" s="80">
        <f t="shared" ref="E9:E29" si="3">ROUND(C9*100/D9,1)</f>
        <v>60.1</v>
      </c>
      <c r="F9" s="80">
        <f t="shared" si="1"/>
        <v>349.6</v>
      </c>
      <c r="G9" s="80">
        <v>270</v>
      </c>
      <c r="H9" s="104">
        <f t="shared" si="2"/>
        <v>3</v>
      </c>
      <c r="I9" s="107" t="s">
        <v>79</v>
      </c>
      <c r="J9" s="89"/>
    </row>
    <row r="10" spans="1:10" s="52" customFormat="1" ht="23.25" customHeight="1" x14ac:dyDescent="0.25">
      <c r="A10" s="80">
        <v>8</v>
      </c>
      <c r="B10" s="82" t="s">
        <v>119</v>
      </c>
      <c r="C10" s="80">
        <f>765+20+165+12</f>
        <v>962</v>
      </c>
      <c r="D10" s="80">
        <f>390+1110</f>
        <v>1500</v>
      </c>
      <c r="E10" s="80">
        <f t="shared" si="3"/>
        <v>64.099999999999994</v>
      </c>
      <c r="F10" s="80">
        <f t="shared" si="1"/>
        <v>384.8</v>
      </c>
      <c r="G10" s="80">
        <v>270</v>
      </c>
      <c r="H10" s="104">
        <f t="shared" si="2"/>
        <v>4</v>
      </c>
      <c r="I10" s="107" t="s">
        <v>76</v>
      </c>
      <c r="J10" s="89"/>
    </row>
    <row r="11" spans="1:10" s="52" customFormat="1" ht="23.25" customHeight="1" x14ac:dyDescent="0.25">
      <c r="A11" s="80">
        <v>9</v>
      </c>
      <c r="B11" s="82" t="s">
        <v>10</v>
      </c>
      <c r="C11" s="80">
        <f>705+16+165+12</f>
        <v>898</v>
      </c>
      <c r="D11" s="80">
        <f>390+1080</f>
        <v>1470</v>
      </c>
      <c r="E11" s="80">
        <f t="shared" si="3"/>
        <v>61.1</v>
      </c>
      <c r="F11" s="80">
        <f t="shared" si="1"/>
        <v>359.20000000000005</v>
      </c>
      <c r="G11" s="80">
        <v>270</v>
      </c>
      <c r="H11" s="104">
        <f t="shared" si="2"/>
        <v>3</v>
      </c>
      <c r="I11" s="107" t="s">
        <v>62</v>
      </c>
      <c r="J11" s="89"/>
    </row>
    <row r="12" spans="1:10" s="52" customFormat="1" ht="23.25" customHeight="1" x14ac:dyDescent="0.25">
      <c r="A12" s="80">
        <v>10</v>
      </c>
      <c r="B12" s="82" t="s">
        <v>120</v>
      </c>
      <c r="C12" s="80">
        <f>165+12+765+16</f>
        <v>958</v>
      </c>
      <c r="D12" s="80">
        <f>1110+390</f>
        <v>1500</v>
      </c>
      <c r="E12" s="80">
        <f t="shared" si="3"/>
        <v>63.9</v>
      </c>
      <c r="F12" s="80">
        <f t="shared" si="1"/>
        <v>383.20000000000005</v>
      </c>
      <c r="G12" s="80">
        <v>270</v>
      </c>
      <c r="H12" s="104">
        <f t="shared" si="2"/>
        <v>4</v>
      </c>
      <c r="I12" s="107" t="s">
        <v>62</v>
      </c>
      <c r="J12" s="89"/>
    </row>
    <row r="13" spans="1:10" s="52" customFormat="1" ht="23.25" customHeight="1" x14ac:dyDescent="0.25">
      <c r="A13" s="80">
        <v>11</v>
      </c>
      <c r="B13" s="82" t="s">
        <v>121</v>
      </c>
      <c r="C13" s="80"/>
      <c r="D13" s="80"/>
      <c r="E13" s="80"/>
      <c r="F13" s="80"/>
      <c r="G13" s="80"/>
      <c r="H13" s="104"/>
      <c r="I13" s="108"/>
      <c r="J13" s="89"/>
    </row>
    <row r="14" spans="1:10" s="52" customFormat="1" ht="23.25" customHeight="1" x14ac:dyDescent="0.25">
      <c r="A14" s="80">
        <v>12</v>
      </c>
      <c r="B14" s="82" t="s">
        <v>122</v>
      </c>
      <c r="C14" s="80"/>
      <c r="D14" s="80"/>
      <c r="E14" s="87"/>
      <c r="F14" s="80"/>
      <c r="G14" s="80"/>
      <c r="H14" s="104"/>
      <c r="I14" s="108"/>
      <c r="J14" s="89"/>
    </row>
    <row r="15" spans="1:10" s="52" customFormat="1" ht="23.25" customHeight="1" x14ac:dyDescent="0.25">
      <c r="A15" s="80">
        <v>13</v>
      </c>
      <c r="B15" s="82" t="s">
        <v>123</v>
      </c>
      <c r="C15" s="80"/>
      <c r="D15" s="80"/>
      <c r="E15" s="80"/>
      <c r="F15" s="80"/>
      <c r="G15" s="80"/>
      <c r="H15" s="104"/>
      <c r="I15" s="108"/>
      <c r="J15" s="89"/>
    </row>
    <row r="16" spans="1:10" s="52" customFormat="1" ht="23.25" customHeight="1" x14ac:dyDescent="0.25">
      <c r="A16" s="80">
        <v>14</v>
      </c>
      <c r="B16" s="82" t="s">
        <v>124</v>
      </c>
      <c r="C16" s="80">
        <f>675+16+165+12</f>
        <v>868</v>
      </c>
      <c r="D16" s="80">
        <f>390+1065</f>
        <v>1455</v>
      </c>
      <c r="E16" s="88">
        <f t="shared" si="3"/>
        <v>59.7</v>
      </c>
      <c r="F16" s="80">
        <f t="shared" si="1"/>
        <v>347.20000000000005</v>
      </c>
      <c r="G16" s="80">
        <v>270</v>
      </c>
      <c r="H16" s="104">
        <f t="shared" si="2"/>
        <v>3</v>
      </c>
      <c r="I16" s="107" t="s">
        <v>62</v>
      </c>
      <c r="J16" s="89"/>
    </row>
    <row r="17" spans="1:10" s="52" customFormat="1" ht="23.25" customHeight="1" x14ac:dyDescent="0.25">
      <c r="A17" s="80">
        <v>15</v>
      </c>
      <c r="B17" s="82" t="s">
        <v>125</v>
      </c>
      <c r="C17" s="80"/>
      <c r="D17" s="80"/>
      <c r="E17" s="80"/>
      <c r="F17" s="80"/>
      <c r="G17" s="80"/>
      <c r="H17" s="104"/>
      <c r="I17" s="108"/>
      <c r="J17" s="89"/>
    </row>
    <row r="18" spans="1:10" s="52" customFormat="1" ht="31.5" customHeight="1" x14ac:dyDescent="0.25">
      <c r="A18" s="80">
        <v>16</v>
      </c>
      <c r="B18" s="82" t="s">
        <v>126</v>
      </c>
      <c r="C18" s="80">
        <f>165+12+825+30</f>
        <v>1032</v>
      </c>
      <c r="D18" s="80">
        <f>1140+390</f>
        <v>1530</v>
      </c>
      <c r="E18" s="80">
        <f t="shared" si="3"/>
        <v>67.5</v>
      </c>
      <c r="F18" s="80">
        <f t="shared" si="1"/>
        <v>412.8</v>
      </c>
      <c r="G18" s="80">
        <v>270</v>
      </c>
      <c r="H18" s="104">
        <f t="shared" si="2"/>
        <v>5</v>
      </c>
      <c r="I18" s="110" t="s">
        <v>82</v>
      </c>
      <c r="J18" s="89"/>
    </row>
    <row r="19" spans="1:10" s="52" customFormat="1" ht="31.5" customHeight="1" x14ac:dyDescent="0.25">
      <c r="A19" s="80">
        <v>17</v>
      </c>
      <c r="B19" s="82" t="s">
        <v>127</v>
      </c>
      <c r="C19" s="80">
        <f>825+30+165+12</f>
        <v>1032</v>
      </c>
      <c r="D19" s="80">
        <f>390+1140</f>
        <v>1530</v>
      </c>
      <c r="E19" s="87">
        <f t="shared" si="3"/>
        <v>67.5</v>
      </c>
      <c r="F19" s="80">
        <f t="shared" si="1"/>
        <v>412.8</v>
      </c>
      <c r="G19" s="80">
        <v>270</v>
      </c>
      <c r="H19" s="104">
        <f t="shared" si="2"/>
        <v>5</v>
      </c>
      <c r="I19" s="110" t="s">
        <v>81</v>
      </c>
      <c r="J19" s="89"/>
    </row>
    <row r="20" spans="1:10" s="52" customFormat="1" ht="31.5" customHeight="1" x14ac:dyDescent="0.25">
      <c r="A20" s="80">
        <v>18</v>
      </c>
      <c r="B20" s="82" t="s">
        <v>128</v>
      </c>
      <c r="C20" s="80">
        <f>165+12+825+30</f>
        <v>1032</v>
      </c>
      <c r="D20" s="80">
        <f>390+1140</f>
        <v>1530</v>
      </c>
      <c r="E20" s="80">
        <f t="shared" si="3"/>
        <v>67.5</v>
      </c>
      <c r="F20" s="80">
        <f t="shared" si="1"/>
        <v>412.8</v>
      </c>
      <c r="G20" s="80">
        <v>270</v>
      </c>
      <c r="H20" s="104">
        <f t="shared" si="2"/>
        <v>5</v>
      </c>
      <c r="I20" s="110" t="s">
        <v>86</v>
      </c>
      <c r="J20" s="89"/>
    </row>
    <row r="21" spans="1:10" s="52" customFormat="1" ht="31.5" customHeight="1" x14ac:dyDescent="0.25">
      <c r="A21" s="80">
        <v>19</v>
      </c>
      <c r="B21" s="82" t="s">
        <v>129</v>
      </c>
      <c r="C21" s="80">
        <f>165+12+825+30</f>
        <v>1032</v>
      </c>
      <c r="D21" s="80">
        <f>390+1140</f>
        <v>1530</v>
      </c>
      <c r="E21" s="80">
        <f t="shared" si="3"/>
        <v>67.5</v>
      </c>
      <c r="F21" s="80">
        <f t="shared" si="1"/>
        <v>412.8</v>
      </c>
      <c r="G21" s="80">
        <v>270</v>
      </c>
      <c r="H21" s="104">
        <f t="shared" si="2"/>
        <v>5</v>
      </c>
      <c r="I21" s="110" t="s">
        <v>80</v>
      </c>
      <c r="J21" s="89"/>
    </row>
    <row r="22" spans="1:10" s="52" customFormat="1" ht="31.5" customHeight="1" x14ac:dyDescent="0.25">
      <c r="A22" s="80">
        <v>20</v>
      </c>
      <c r="B22" s="82" t="s">
        <v>130</v>
      </c>
      <c r="C22" s="80">
        <f>165+12+795+22</f>
        <v>994</v>
      </c>
      <c r="D22" s="80">
        <f>1125+390</f>
        <v>1515</v>
      </c>
      <c r="E22" s="80">
        <f t="shared" si="3"/>
        <v>65.599999999999994</v>
      </c>
      <c r="F22" s="80">
        <f t="shared" si="1"/>
        <v>397.6</v>
      </c>
      <c r="G22" s="80">
        <v>270</v>
      </c>
      <c r="H22" s="104">
        <f t="shared" si="2"/>
        <v>4</v>
      </c>
      <c r="I22" s="110" t="s">
        <v>83</v>
      </c>
      <c r="J22" s="89"/>
    </row>
    <row r="23" spans="1:10" s="52" customFormat="1" ht="31.5" customHeight="1" x14ac:dyDescent="0.25">
      <c r="A23" s="80">
        <v>21</v>
      </c>
      <c r="B23" s="82" t="s">
        <v>131</v>
      </c>
      <c r="C23" s="80">
        <f>165+12+210+10+555+14+60+2</f>
        <v>1028</v>
      </c>
      <c r="D23" s="80">
        <f>390+315+735+90</f>
        <v>1530</v>
      </c>
      <c r="E23" s="80">
        <f t="shared" si="3"/>
        <v>67.2</v>
      </c>
      <c r="F23" s="80">
        <f t="shared" si="1"/>
        <v>411.20000000000005</v>
      </c>
      <c r="G23" s="80">
        <v>270</v>
      </c>
      <c r="H23" s="104">
        <f t="shared" si="2"/>
        <v>5</v>
      </c>
      <c r="I23" s="110" t="s">
        <v>85</v>
      </c>
      <c r="J23" s="89"/>
    </row>
    <row r="24" spans="1:10" s="52" customFormat="1" ht="31.5" customHeight="1" x14ac:dyDescent="0.25">
      <c r="A24" s="80">
        <v>22</v>
      </c>
      <c r="B24" s="82" t="s">
        <v>132</v>
      </c>
      <c r="C24" s="80">
        <f>165+12+795+24</f>
        <v>996</v>
      </c>
      <c r="D24" s="80">
        <f>390+1125</f>
        <v>1515</v>
      </c>
      <c r="E24" s="80">
        <f t="shared" si="3"/>
        <v>65.7</v>
      </c>
      <c r="F24" s="80">
        <f t="shared" si="1"/>
        <v>398.40000000000003</v>
      </c>
      <c r="G24" s="80">
        <v>270</v>
      </c>
      <c r="H24" s="104">
        <f t="shared" si="2"/>
        <v>4</v>
      </c>
      <c r="I24" s="110" t="s">
        <v>84</v>
      </c>
      <c r="J24" s="89"/>
    </row>
    <row r="25" spans="1:10" s="52" customFormat="1" ht="25.5" customHeight="1" x14ac:dyDescent="0.25">
      <c r="A25" s="80">
        <v>23</v>
      </c>
      <c r="B25" s="82" t="s">
        <v>133</v>
      </c>
      <c r="C25" s="80">
        <f>165+12+630+22</f>
        <v>829</v>
      </c>
      <c r="D25" s="80">
        <f>390+1050</f>
        <v>1440</v>
      </c>
      <c r="E25" s="88">
        <f t="shared" si="3"/>
        <v>57.6</v>
      </c>
      <c r="F25" s="80">
        <f t="shared" si="1"/>
        <v>331.6</v>
      </c>
      <c r="G25" s="80">
        <v>270</v>
      </c>
      <c r="H25" s="104">
        <f t="shared" si="2"/>
        <v>2</v>
      </c>
      <c r="I25" s="107" t="s">
        <v>88</v>
      </c>
      <c r="J25" s="89"/>
    </row>
    <row r="26" spans="1:10" s="52" customFormat="1" ht="25.5" customHeight="1" x14ac:dyDescent="0.25">
      <c r="A26" s="80">
        <v>24</v>
      </c>
      <c r="B26" s="82" t="s">
        <v>134</v>
      </c>
      <c r="C26" s="80">
        <f>720+20+165+12</f>
        <v>917</v>
      </c>
      <c r="D26" s="80">
        <f>390+1080</f>
        <v>1470</v>
      </c>
      <c r="E26" s="87">
        <f t="shared" si="3"/>
        <v>62.4</v>
      </c>
      <c r="F26" s="80">
        <f t="shared" si="1"/>
        <v>366.8</v>
      </c>
      <c r="G26" s="80">
        <v>270</v>
      </c>
      <c r="H26" s="104">
        <f t="shared" si="2"/>
        <v>3</v>
      </c>
      <c r="I26" s="107" t="s">
        <v>72</v>
      </c>
      <c r="J26" s="89"/>
    </row>
    <row r="27" spans="1:10" s="52" customFormat="1" ht="25.5" customHeight="1" x14ac:dyDescent="0.25">
      <c r="A27" s="80">
        <v>25</v>
      </c>
      <c r="B27" s="82" t="s">
        <v>135</v>
      </c>
      <c r="C27" s="80">
        <f>645+24+165+12</f>
        <v>846</v>
      </c>
      <c r="D27" s="80">
        <f>390+1050</f>
        <v>1440</v>
      </c>
      <c r="E27" s="88">
        <f t="shared" si="3"/>
        <v>58.8</v>
      </c>
      <c r="F27" s="80">
        <f t="shared" si="1"/>
        <v>338.40000000000003</v>
      </c>
      <c r="G27" s="80">
        <v>270</v>
      </c>
      <c r="H27" s="104">
        <f t="shared" si="2"/>
        <v>2</v>
      </c>
      <c r="I27" s="107" t="s">
        <v>87</v>
      </c>
      <c r="J27" s="89"/>
    </row>
    <row r="28" spans="1:10" s="52" customFormat="1" ht="25.5" customHeight="1" x14ac:dyDescent="0.25">
      <c r="A28" s="80">
        <v>26</v>
      </c>
      <c r="B28" s="82" t="s">
        <v>136</v>
      </c>
      <c r="C28" s="80">
        <f>165+12+615+22</f>
        <v>814</v>
      </c>
      <c r="D28" s="80">
        <f>1035+390</f>
        <v>1425</v>
      </c>
      <c r="E28" s="88">
        <f t="shared" si="3"/>
        <v>57.1</v>
      </c>
      <c r="F28" s="80">
        <f t="shared" si="1"/>
        <v>325.60000000000002</v>
      </c>
      <c r="G28" s="80">
        <v>270</v>
      </c>
      <c r="H28" s="104">
        <f t="shared" si="2"/>
        <v>2</v>
      </c>
      <c r="I28" s="107" t="s">
        <v>89</v>
      </c>
      <c r="J28" s="89"/>
    </row>
    <row r="29" spans="1:10" s="52" customFormat="1" ht="25.5" customHeight="1" x14ac:dyDescent="0.25">
      <c r="A29" s="80">
        <v>27</v>
      </c>
      <c r="B29" s="82" t="s">
        <v>137</v>
      </c>
      <c r="C29" s="80">
        <f>165+12+825+20</f>
        <v>1022</v>
      </c>
      <c r="D29" s="80">
        <f>1140+390</f>
        <v>1530</v>
      </c>
      <c r="E29" s="80">
        <f t="shared" si="3"/>
        <v>66.8</v>
      </c>
      <c r="F29" s="80">
        <f t="shared" si="1"/>
        <v>408.8</v>
      </c>
      <c r="G29" s="80">
        <v>270</v>
      </c>
      <c r="H29" s="104">
        <f t="shared" si="2"/>
        <v>5</v>
      </c>
      <c r="I29" s="107" t="s">
        <v>74</v>
      </c>
      <c r="J29" s="89"/>
    </row>
    <row r="30" spans="1:10" s="52" customFormat="1" ht="18.75" customHeight="1" x14ac:dyDescent="0.25">
      <c r="A30" s="131" t="s">
        <v>92</v>
      </c>
      <c r="B30" s="131"/>
      <c r="C30" s="99" t="s">
        <v>101</v>
      </c>
      <c r="D30" s="80"/>
      <c r="E30" s="80"/>
      <c r="F30" s="80"/>
      <c r="G30" s="80"/>
      <c r="H30" s="87">
        <f>COUNT(H3:H29)</f>
        <v>21</v>
      </c>
      <c r="I30" s="87"/>
      <c r="J30" s="93"/>
    </row>
    <row r="31" spans="1:10" s="5" customFormat="1" ht="18.75" hidden="1" customHeight="1" x14ac:dyDescent="0.25">
      <c r="B31" s="19"/>
      <c r="C31" s="55"/>
      <c r="D31" s="55"/>
      <c r="E31" s="55"/>
      <c r="F31" s="55"/>
      <c r="G31" s="55"/>
      <c r="H31" s="56"/>
      <c r="I31" s="56"/>
      <c r="J31" s="9"/>
    </row>
    <row r="32" spans="1:10" s="5" customFormat="1" ht="18.75" hidden="1" customHeight="1" x14ac:dyDescent="0.25">
      <c r="B32" s="19"/>
      <c r="C32" s="11">
        <f>795+26</f>
        <v>821</v>
      </c>
      <c r="D32" s="11">
        <v>1275</v>
      </c>
      <c r="E32" s="15">
        <f t="shared" ref="E32:E34" si="4">ROUND(C32*100/D32,1)</f>
        <v>64.400000000000006</v>
      </c>
      <c r="F32" s="11">
        <f t="shared" si="1"/>
        <v>328.40000000000003</v>
      </c>
      <c r="G32" s="11">
        <v>270</v>
      </c>
      <c r="H32" s="10">
        <f t="shared" si="2"/>
        <v>2</v>
      </c>
      <c r="I32" s="10"/>
      <c r="J32" s="47"/>
    </row>
    <row r="33" spans="2:10" s="5" customFormat="1" ht="18.75" hidden="1" customHeight="1" x14ac:dyDescent="0.25">
      <c r="B33" s="28" t="s">
        <v>104</v>
      </c>
      <c r="C33" s="11">
        <f>855+28</f>
        <v>883</v>
      </c>
      <c r="D33" s="11">
        <v>1305</v>
      </c>
      <c r="E33" s="11">
        <f t="shared" si="4"/>
        <v>67.7</v>
      </c>
      <c r="F33" s="11">
        <f t="shared" si="1"/>
        <v>353.20000000000005</v>
      </c>
      <c r="G33" s="11">
        <v>270</v>
      </c>
      <c r="H33" s="10">
        <f t="shared" si="2"/>
        <v>3</v>
      </c>
      <c r="I33" s="10"/>
      <c r="J33" s="9"/>
    </row>
    <row r="34" spans="2:10" s="5" customFormat="1" ht="18.75" hidden="1" customHeight="1" x14ac:dyDescent="0.25">
      <c r="B34" s="53" t="s">
        <v>102</v>
      </c>
      <c r="C34" s="11">
        <f>165+12+795+16</f>
        <v>988</v>
      </c>
      <c r="D34" s="11">
        <f>390+1125</f>
        <v>1515</v>
      </c>
      <c r="E34" s="15">
        <f t="shared" si="4"/>
        <v>65.2</v>
      </c>
      <c r="F34" s="11">
        <f t="shared" si="1"/>
        <v>395.20000000000005</v>
      </c>
      <c r="G34" s="11">
        <v>270</v>
      </c>
      <c r="H34" s="10">
        <f t="shared" si="2"/>
        <v>4</v>
      </c>
      <c r="I34" s="10"/>
      <c r="J34" s="47"/>
    </row>
    <row r="35" spans="2:10" s="5" customFormat="1" ht="18.75" hidden="1" customHeight="1" x14ac:dyDescent="0.25">
      <c r="B35" s="53" t="s">
        <v>103</v>
      </c>
      <c r="C35" s="54" t="s">
        <v>100</v>
      </c>
      <c r="D35" s="11"/>
      <c r="E35" s="49"/>
      <c r="F35" s="11"/>
      <c r="G35" s="11"/>
      <c r="H35" s="11"/>
      <c r="I35" s="11"/>
      <c r="J35" s="9"/>
    </row>
    <row r="36" spans="2:10" s="5" customFormat="1" ht="11.25" hidden="1" customHeight="1" x14ac:dyDescent="0.25">
      <c r="B36" s="25"/>
      <c r="C36" s="9"/>
      <c r="D36" s="9"/>
      <c r="E36" s="9"/>
      <c r="F36" s="9"/>
      <c r="G36" s="9"/>
      <c r="H36" s="9"/>
      <c r="I36" s="9"/>
      <c r="J36" s="9"/>
    </row>
    <row r="37" spans="2:10" s="5" customFormat="1" ht="18.75" hidden="1" customHeight="1" x14ac:dyDescent="0.25">
      <c r="B37" s="28" t="s">
        <v>110</v>
      </c>
      <c r="C37" s="9"/>
      <c r="D37" s="9"/>
      <c r="E37" s="9"/>
      <c r="F37" s="9"/>
      <c r="G37" s="9"/>
      <c r="H37" s="9"/>
      <c r="I37" s="9"/>
      <c r="J37" s="9"/>
    </row>
    <row r="38" spans="2:10" s="5" customFormat="1" ht="20.25" hidden="1" customHeight="1" x14ac:dyDescent="0.25">
      <c r="B38" s="20" t="s">
        <v>111</v>
      </c>
      <c r="C38" s="37"/>
      <c r="D38" s="37"/>
      <c r="E38" s="37"/>
      <c r="F38" s="37"/>
      <c r="G38" s="60">
        <v>0.76190000000000002</v>
      </c>
      <c r="I38" s="62" t="s">
        <v>108</v>
      </c>
    </row>
    <row r="39" spans="2:10" ht="20.25" hidden="1" customHeight="1" x14ac:dyDescent="0.25">
      <c r="C39" s="37"/>
      <c r="D39" s="37"/>
      <c r="E39" s="37"/>
      <c r="F39" s="37"/>
      <c r="G39" s="61">
        <v>0.79159999999999997</v>
      </c>
      <c r="I39" s="62" t="s">
        <v>109</v>
      </c>
    </row>
    <row r="40" spans="2:10" ht="18.75" customHeight="1" x14ac:dyDescent="0.25"/>
    <row r="41" spans="2:10" ht="18.75" customHeight="1" x14ac:dyDescent="0.25"/>
    <row r="42" spans="2:10" ht="18.75" customHeight="1" x14ac:dyDescent="0.25"/>
    <row r="43" spans="2:10" ht="18.75" customHeight="1" x14ac:dyDescent="0.25"/>
    <row r="44" spans="2:10" ht="18.75" customHeight="1" x14ac:dyDescent="0.25"/>
    <row r="45" spans="2:10" ht="18.75" customHeight="1" x14ac:dyDescent="0.25"/>
    <row r="46" spans="2:10" ht="18.75" customHeight="1" x14ac:dyDescent="0.25"/>
    <row r="47" spans="2:10" ht="18.75" customHeight="1" x14ac:dyDescent="0.25"/>
    <row r="48" spans="2:1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I1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9"/>
  <sheetViews>
    <sheetView topLeftCell="A28" zoomScale="115" zoomScaleNormal="115" workbookViewId="0">
      <selection activeCell="B45" sqref="B45"/>
    </sheetView>
  </sheetViews>
  <sheetFormatPr defaultRowHeight="15" x14ac:dyDescent="0.25"/>
  <cols>
    <col min="1" max="1" width="3.5703125" style="3" customWidth="1"/>
    <col min="2" max="2" width="32.28515625" style="3" customWidth="1"/>
    <col min="3" max="6" width="10.7109375" style="71" customWidth="1"/>
    <col min="7" max="7" width="10.7109375" style="73" customWidth="1"/>
    <col min="8" max="8" width="10.7109375" style="71" customWidth="1"/>
    <col min="9" max="9" width="15.5703125" style="3" hidden="1" customWidth="1"/>
    <col min="10" max="16384" width="9.140625" style="3"/>
  </cols>
  <sheetData>
    <row r="1" spans="1:9" s="2" customFormat="1" ht="45.75" customHeight="1" x14ac:dyDescent="0.25">
      <c r="A1" s="137" t="s">
        <v>145</v>
      </c>
      <c r="B1" s="137"/>
      <c r="C1" s="137"/>
      <c r="D1" s="137"/>
      <c r="E1" s="137"/>
      <c r="F1" s="137"/>
      <c r="G1" s="137"/>
      <c r="H1" s="137"/>
      <c r="I1" s="137"/>
    </row>
    <row r="2" spans="1:9" s="52" customFormat="1" ht="48" customHeight="1" x14ac:dyDescent="0.25">
      <c r="A2" s="120" t="s">
        <v>138</v>
      </c>
      <c r="B2" s="121" t="s">
        <v>52</v>
      </c>
      <c r="C2" s="121" t="s">
        <v>139</v>
      </c>
      <c r="D2" s="121" t="s">
        <v>53</v>
      </c>
      <c r="E2" s="121" t="s">
        <v>140</v>
      </c>
      <c r="F2" s="122" t="s">
        <v>55</v>
      </c>
      <c r="G2" s="122" t="s">
        <v>56</v>
      </c>
      <c r="H2" s="123" t="s">
        <v>57</v>
      </c>
      <c r="I2" s="124" t="s">
        <v>169</v>
      </c>
    </row>
    <row r="3" spans="1:9" s="52" customFormat="1" ht="26.25" customHeight="1" x14ac:dyDescent="0.25">
      <c r="A3" s="91">
        <v>1</v>
      </c>
      <c r="B3" s="125" t="s">
        <v>112</v>
      </c>
      <c r="C3" s="90">
        <f>645+20</f>
        <v>665</v>
      </c>
      <c r="D3" s="90">
        <v>1050</v>
      </c>
      <c r="E3" s="90">
        <f>ROUND(C3*100/D3,1)</f>
        <v>63.3</v>
      </c>
      <c r="F3" s="91">
        <f>C3*0.4</f>
        <v>266</v>
      </c>
      <c r="G3" s="91">
        <v>270</v>
      </c>
      <c r="H3" s="117">
        <f>ROUND((F3-G3)/30,0)</f>
        <v>0</v>
      </c>
      <c r="I3" s="126" t="s">
        <v>158</v>
      </c>
    </row>
    <row r="4" spans="1:9" s="52" customFormat="1" ht="26.25" customHeight="1" x14ac:dyDescent="0.25">
      <c r="A4" s="91">
        <v>2</v>
      </c>
      <c r="B4" s="125" t="s">
        <v>113</v>
      </c>
      <c r="C4" s="91">
        <f>795+16</f>
        <v>811</v>
      </c>
      <c r="D4" s="91">
        <v>1125</v>
      </c>
      <c r="E4" s="90">
        <f t="shared" ref="E4:E29" si="0">ROUND(C4*100/D4,1)</f>
        <v>72.099999999999994</v>
      </c>
      <c r="F4" s="91">
        <f t="shared" ref="F4:F29" si="1">C4*0.4</f>
        <v>324.40000000000003</v>
      </c>
      <c r="G4" s="91">
        <v>270</v>
      </c>
      <c r="H4" s="117">
        <f t="shared" ref="H4:H29" si="2">ROUND((F4-G4)/30,0)</f>
        <v>2</v>
      </c>
      <c r="I4" s="126" t="s">
        <v>159</v>
      </c>
    </row>
    <row r="5" spans="1:9" s="52" customFormat="1" ht="26.25" customHeight="1" x14ac:dyDescent="0.25">
      <c r="A5" s="91">
        <v>3</v>
      </c>
      <c r="B5" s="125" t="s">
        <v>114</v>
      </c>
      <c r="C5" s="91">
        <v>735</v>
      </c>
      <c r="D5" s="91">
        <v>1095</v>
      </c>
      <c r="E5" s="90">
        <f t="shared" si="0"/>
        <v>67.099999999999994</v>
      </c>
      <c r="F5" s="91">
        <f t="shared" si="1"/>
        <v>294</v>
      </c>
      <c r="G5" s="91">
        <v>270</v>
      </c>
      <c r="H5" s="117">
        <f t="shared" si="2"/>
        <v>1</v>
      </c>
      <c r="I5" s="126" t="s">
        <v>152</v>
      </c>
    </row>
    <row r="6" spans="1:9" s="52" customFormat="1" ht="26.25" customHeight="1" x14ac:dyDescent="0.25">
      <c r="A6" s="91">
        <v>4</v>
      </c>
      <c r="B6" s="125" t="s">
        <v>115</v>
      </c>
      <c r="C6" s="91"/>
      <c r="D6" s="91"/>
      <c r="E6" s="90"/>
      <c r="F6" s="91"/>
      <c r="G6" s="91"/>
      <c r="H6" s="117"/>
      <c r="I6" s="126"/>
    </row>
    <row r="7" spans="1:9" s="52" customFormat="1" ht="26.25" customHeight="1" x14ac:dyDescent="0.25">
      <c r="A7" s="91">
        <v>5</v>
      </c>
      <c r="B7" s="125" t="s">
        <v>116</v>
      </c>
      <c r="C7" s="91">
        <v>811</v>
      </c>
      <c r="D7" s="91">
        <v>1125</v>
      </c>
      <c r="E7" s="90">
        <f t="shared" si="0"/>
        <v>72.099999999999994</v>
      </c>
      <c r="F7" s="91">
        <f t="shared" si="1"/>
        <v>324.40000000000003</v>
      </c>
      <c r="G7" s="91">
        <v>270</v>
      </c>
      <c r="H7" s="117">
        <f t="shared" si="2"/>
        <v>2</v>
      </c>
      <c r="I7" s="126" t="s">
        <v>159</v>
      </c>
    </row>
    <row r="8" spans="1:9" s="52" customFormat="1" ht="26.25" customHeight="1" x14ac:dyDescent="0.25">
      <c r="A8" s="91">
        <v>6</v>
      </c>
      <c r="B8" s="125" t="s">
        <v>117</v>
      </c>
      <c r="C8" s="90"/>
      <c r="D8" s="90"/>
      <c r="E8" s="90"/>
      <c r="F8" s="91"/>
      <c r="G8" s="91"/>
      <c r="H8" s="117"/>
      <c r="I8" s="127"/>
    </row>
    <row r="9" spans="1:9" s="52" customFormat="1" ht="26.25" customHeight="1" x14ac:dyDescent="0.25">
      <c r="A9" s="91">
        <v>7</v>
      </c>
      <c r="B9" s="125" t="s">
        <v>118</v>
      </c>
      <c r="C9" s="91">
        <f>675+22</f>
        <v>697</v>
      </c>
      <c r="D9" s="91">
        <v>1065</v>
      </c>
      <c r="E9" s="90">
        <f t="shared" si="0"/>
        <v>65.400000000000006</v>
      </c>
      <c r="F9" s="91">
        <f t="shared" si="1"/>
        <v>278.8</v>
      </c>
      <c r="G9" s="91">
        <v>270</v>
      </c>
      <c r="H9" s="117">
        <f t="shared" si="2"/>
        <v>0</v>
      </c>
      <c r="I9" s="126" t="s">
        <v>61</v>
      </c>
    </row>
    <row r="10" spans="1:9" s="52" customFormat="1" ht="26.25" customHeight="1" x14ac:dyDescent="0.25">
      <c r="A10" s="91">
        <v>8</v>
      </c>
      <c r="B10" s="125" t="s">
        <v>119</v>
      </c>
      <c r="C10" s="91">
        <f>765+20</f>
        <v>785</v>
      </c>
      <c r="D10" s="91">
        <v>1110</v>
      </c>
      <c r="E10" s="90">
        <f t="shared" si="0"/>
        <v>70.7</v>
      </c>
      <c r="F10" s="91">
        <f t="shared" si="1"/>
        <v>314</v>
      </c>
      <c r="G10" s="91">
        <v>270</v>
      </c>
      <c r="H10" s="117">
        <f t="shared" si="2"/>
        <v>1</v>
      </c>
      <c r="I10" s="126" t="s">
        <v>152</v>
      </c>
    </row>
    <row r="11" spans="1:9" s="52" customFormat="1" ht="26.25" customHeight="1" x14ac:dyDescent="0.25">
      <c r="A11" s="91">
        <v>9</v>
      </c>
      <c r="B11" s="125" t="s">
        <v>146</v>
      </c>
      <c r="C11" s="91">
        <f>705+16</f>
        <v>721</v>
      </c>
      <c r="D11" s="91">
        <v>1080</v>
      </c>
      <c r="E11" s="90">
        <f t="shared" si="0"/>
        <v>66.8</v>
      </c>
      <c r="F11" s="91">
        <f t="shared" si="1"/>
        <v>288.40000000000003</v>
      </c>
      <c r="G11" s="91">
        <v>270</v>
      </c>
      <c r="H11" s="117">
        <f t="shared" si="2"/>
        <v>1</v>
      </c>
      <c r="I11" s="126" t="s">
        <v>152</v>
      </c>
    </row>
    <row r="12" spans="1:9" s="52" customFormat="1" ht="26.25" customHeight="1" x14ac:dyDescent="0.25">
      <c r="A12" s="91">
        <v>10</v>
      </c>
      <c r="B12" s="125" t="s">
        <v>120</v>
      </c>
      <c r="C12" s="91">
        <f>765+16</f>
        <v>781</v>
      </c>
      <c r="D12" s="91">
        <v>1110</v>
      </c>
      <c r="E12" s="90">
        <f t="shared" si="0"/>
        <v>70.400000000000006</v>
      </c>
      <c r="F12" s="91">
        <f t="shared" si="1"/>
        <v>312.40000000000003</v>
      </c>
      <c r="G12" s="91">
        <v>270</v>
      </c>
      <c r="H12" s="117">
        <f t="shared" si="2"/>
        <v>1</v>
      </c>
      <c r="I12" s="126" t="s">
        <v>62</v>
      </c>
    </row>
    <row r="13" spans="1:9" s="52" customFormat="1" ht="26.25" customHeight="1" x14ac:dyDescent="0.25">
      <c r="A13" s="91">
        <v>11</v>
      </c>
      <c r="B13" s="125" t="s">
        <v>121</v>
      </c>
      <c r="C13" s="91"/>
      <c r="D13" s="91"/>
      <c r="E13" s="90"/>
      <c r="F13" s="91"/>
      <c r="G13" s="91"/>
      <c r="H13" s="117"/>
      <c r="I13" s="127"/>
    </row>
    <row r="14" spans="1:9" s="52" customFormat="1" ht="26.25" customHeight="1" x14ac:dyDescent="0.25">
      <c r="A14" s="91">
        <v>12</v>
      </c>
      <c r="B14" s="125" t="s">
        <v>122</v>
      </c>
      <c r="C14" s="90"/>
      <c r="D14" s="90"/>
      <c r="E14" s="90"/>
      <c r="F14" s="91"/>
      <c r="G14" s="91"/>
      <c r="H14" s="117"/>
      <c r="I14" s="127"/>
    </row>
    <row r="15" spans="1:9" s="52" customFormat="1" ht="26.25" customHeight="1" x14ac:dyDescent="0.25">
      <c r="A15" s="91">
        <v>13</v>
      </c>
      <c r="B15" s="125" t="s">
        <v>123</v>
      </c>
      <c r="C15" s="91"/>
      <c r="D15" s="91"/>
      <c r="E15" s="90"/>
      <c r="F15" s="91"/>
      <c r="G15" s="91"/>
      <c r="H15" s="117"/>
      <c r="I15" s="127"/>
    </row>
    <row r="16" spans="1:9" s="52" customFormat="1" ht="26.25" customHeight="1" x14ac:dyDescent="0.25">
      <c r="A16" s="91">
        <v>14</v>
      </c>
      <c r="B16" s="125" t="s">
        <v>124</v>
      </c>
      <c r="C16" s="91">
        <f>675+16</f>
        <v>691</v>
      </c>
      <c r="D16" s="91">
        <v>1065</v>
      </c>
      <c r="E16" s="90">
        <f t="shared" si="0"/>
        <v>64.900000000000006</v>
      </c>
      <c r="F16" s="91">
        <f t="shared" si="1"/>
        <v>276.40000000000003</v>
      </c>
      <c r="G16" s="91">
        <v>270</v>
      </c>
      <c r="H16" s="117">
        <f t="shared" si="2"/>
        <v>0</v>
      </c>
      <c r="I16" s="126" t="s">
        <v>62</v>
      </c>
    </row>
    <row r="17" spans="1:9" s="52" customFormat="1" ht="26.25" customHeight="1" x14ac:dyDescent="0.25">
      <c r="A17" s="91">
        <v>15</v>
      </c>
      <c r="B17" s="125" t="s">
        <v>125</v>
      </c>
      <c r="C17" s="91"/>
      <c r="D17" s="91"/>
      <c r="E17" s="90"/>
      <c r="F17" s="91"/>
      <c r="G17" s="91"/>
      <c r="H17" s="117"/>
      <c r="I17" s="127"/>
    </row>
    <row r="18" spans="1:9" s="52" customFormat="1" ht="26.25" customHeight="1" x14ac:dyDescent="0.25">
      <c r="A18" s="91">
        <v>16</v>
      </c>
      <c r="B18" s="125" t="s">
        <v>126</v>
      </c>
      <c r="C18" s="91">
        <f>825+30</f>
        <v>855</v>
      </c>
      <c r="D18" s="91">
        <v>1140</v>
      </c>
      <c r="E18" s="90">
        <f t="shared" si="0"/>
        <v>75</v>
      </c>
      <c r="F18" s="91">
        <f t="shared" si="1"/>
        <v>342</v>
      </c>
      <c r="G18" s="91">
        <v>270</v>
      </c>
      <c r="H18" s="117">
        <f t="shared" si="2"/>
        <v>2</v>
      </c>
      <c r="I18" s="128" t="s">
        <v>163</v>
      </c>
    </row>
    <row r="19" spans="1:9" s="52" customFormat="1" ht="26.25" customHeight="1" x14ac:dyDescent="0.25">
      <c r="A19" s="91">
        <v>17</v>
      </c>
      <c r="B19" s="125" t="s">
        <v>160</v>
      </c>
      <c r="C19" s="90">
        <f>825+30</f>
        <v>855</v>
      </c>
      <c r="D19" s="90">
        <v>1140</v>
      </c>
      <c r="E19" s="90">
        <f t="shared" si="0"/>
        <v>75</v>
      </c>
      <c r="F19" s="91">
        <f t="shared" si="1"/>
        <v>342</v>
      </c>
      <c r="G19" s="91">
        <v>270</v>
      </c>
      <c r="H19" s="117">
        <f t="shared" si="2"/>
        <v>2</v>
      </c>
      <c r="I19" s="128" t="s">
        <v>161</v>
      </c>
    </row>
    <row r="20" spans="1:9" s="52" customFormat="1" ht="26.25" customHeight="1" x14ac:dyDescent="0.25">
      <c r="A20" s="91">
        <v>18</v>
      </c>
      <c r="B20" s="125" t="s">
        <v>128</v>
      </c>
      <c r="C20" s="91">
        <f>825+30</f>
        <v>855</v>
      </c>
      <c r="D20" s="91">
        <v>1140</v>
      </c>
      <c r="E20" s="90">
        <f t="shared" si="0"/>
        <v>75</v>
      </c>
      <c r="F20" s="91">
        <f t="shared" si="1"/>
        <v>342</v>
      </c>
      <c r="G20" s="91">
        <v>270</v>
      </c>
      <c r="H20" s="117">
        <f t="shared" si="2"/>
        <v>2</v>
      </c>
      <c r="I20" s="128" t="s">
        <v>148</v>
      </c>
    </row>
    <row r="21" spans="1:9" s="52" customFormat="1" ht="26.25" customHeight="1" x14ac:dyDescent="0.25">
      <c r="A21" s="91">
        <v>19</v>
      </c>
      <c r="B21" s="125" t="s">
        <v>129</v>
      </c>
      <c r="C21" s="91">
        <f>825+30</f>
        <v>855</v>
      </c>
      <c r="D21" s="91">
        <v>1140</v>
      </c>
      <c r="E21" s="90">
        <f t="shared" si="0"/>
        <v>75</v>
      </c>
      <c r="F21" s="91">
        <f t="shared" si="1"/>
        <v>342</v>
      </c>
      <c r="G21" s="91">
        <v>270</v>
      </c>
      <c r="H21" s="117">
        <f t="shared" si="2"/>
        <v>2</v>
      </c>
      <c r="I21" s="128" t="s">
        <v>162</v>
      </c>
    </row>
    <row r="22" spans="1:9" s="52" customFormat="1" ht="26.25" customHeight="1" x14ac:dyDescent="0.25">
      <c r="A22" s="91">
        <v>20</v>
      </c>
      <c r="B22" s="125" t="s">
        <v>130</v>
      </c>
      <c r="C22" s="91">
        <v>817</v>
      </c>
      <c r="D22" s="91">
        <v>1125</v>
      </c>
      <c r="E22" s="90">
        <f t="shared" si="0"/>
        <v>72.599999999999994</v>
      </c>
      <c r="F22" s="91">
        <f t="shared" si="1"/>
        <v>326.8</v>
      </c>
      <c r="G22" s="91">
        <v>270</v>
      </c>
      <c r="H22" s="117">
        <f t="shared" si="2"/>
        <v>2</v>
      </c>
      <c r="I22" s="128" t="s">
        <v>164</v>
      </c>
    </row>
    <row r="23" spans="1:9" s="52" customFormat="1" ht="26.25" customHeight="1" x14ac:dyDescent="0.25">
      <c r="A23" s="91">
        <v>21</v>
      </c>
      <c r="B23" s="125" t="s">
        <v>131</v>
      </c>
      <c r="C23" s="91">
        <v>851</v>
      </c>
      <c r="D23" s="91">
        <v>1140</v>
      </c>
      <c r="E23" s="90">
        <f t="shared" si="0"/>
        <v>74.599999999999994</v>
      </c>
      <c r="F23" s="91">
        <f t="shared" si="1"/>
        <v>340.40000000000003</v>
      </c>
      <c r="G23" s="91">
        <v>270</v>
      </c>
      <c r="H23" s="117">
        <f t="shared" si="2"/>
        <v>2</v>
      </c>
      <c r="I23" s="128" t="s">
        <v>165</v>
      </c>
    </row>
    <row r="24" spans="1:9" s="52" customFormat="1" ht="26.25" customHeight="1" x14ac:dyDescent="0.25">
      <c r="A24" s="91">
        <v>22</v>
      </c>
      <c r="B24" s="125" t="s">
        <v>166</v>
      </c>
      <c r="C24" s="91">
        <v>819</v>
      </c>
      <c r="D24" s="91">
        <v>1125</v>
      </c>
      <c r="E24" s="90">
        <f t="shared" si="0"/>
        <v>72.8</v>
      </c>
      <c r="F24" s="91">
        <f t="shared" si="1"/>
        <v>327.60000000000002</v>
      </c>
      <c r="G24" s="91">
        <v>270</v>
      </c>
      <c r="H24" s="117">
        <f t="shared" si="2"/>
        <v>2</v>
      </c>
      <c r="I24" s="128" t="s">
        <v>167</v>
      </c>
    </row>
    <row r="25" spans="1:9" s="52" customFormat="1" ht="26.25" customHeight="1" x14ac:dyDescent="0.25">
      <c r="A25" s="91">
        <v>23</v>
      </c>
      <c r="B25" s="125" t="s">
        <v>133</v>
      </c>
      <c r="C25" s="91">
        <f>630+22</f>
        <v>652</v>
      </c>
      <c r="D25" s="91">
        <v>1050</v>
      </c>
      <c r="E25" s="90">
        <f t="shared" si="0"/>
        <v>62.1</v>
      </c>
      <c r="F25" s="91">
        <f t="shared" si="1"/>
        <v>260.8</v>
      </c>
      <c r="G25" s="91">
        <v>270</v>
      </c>
      <c r="H25" s="117">
        <f t="shared" si="2"/>
        <v>0</v>
      </c>
      <c r="I25" s="126" t="s">
        <v>75</v>
      </c>
    </row>
    <row r="26" spans="1:9" s="52" customFormat="1" ht="26.25" customHeight="1" x14ac:dyDescent="0.25">
      <c r="A26" s="91">
        <v>24</v>
      </c>
      <c r="B26" s="125" t="s">
        <v>134</v>
      </c>
      <c r="C26" s="90">
        <v>740</v>
      </c>
      <c r="D26" s="90">
        <v>1080</v>
      </c>
      <c r="E26" s="90">
        <f t="shared" si="0"/>
        <v>68.5</v>
      </c>
      <c r="F26" s="91">
        <f t="shared" si="1"/>
        <v>296</v>
      </c>
      <c r="G26" s="91">
        <v>270</v>
      </c>
      <c r="H26" s="117">
        <f t="shared" si="2"/>
        <v>1</v>
      </c>
      <c r="I26" s="126" t="s">
        <v>168</v>
      </c>
    </row>
    <row r="27" spans="1:9" s="52" customFormat="1" ht="26.25" customHeight="1" x14ac:dyDescent="0.25">
      <c r="A27" s="91">
        <v>25</v>
      </c>
      <c r="B27" s="125" t="s">
        <v>135</v>
      </c>
      <c r="C27" s="90">
        <f>645+24</f>
        <v>669</v>
      </c>
      <c r="D27" s="90">
        <v>1050</v>
      </c>
      <c r="E27" s="90">
        <f t="shared" si="0"/>
        <v>63.7</v>
      </c>
      <c r="F27" s="91">
        <f t="shared" si="1"/>
        <v>267.60000000000002</v>
      </c>
      <c r="G27" s="91">
        <v>270</v>
      </c>
      <c r="H27" s="117">
        <f t="shared" si="2"/>
        <v>0</v>
      </c>
      <c r="I27" s="126" t="s">
        <v>157</v>
      </c>
    </row>
    <row r="28" spans="1:9" s="52" customFormat="1" ht="26.25" customHeight="1" x14ac:dyDescent="0.25">
      <c r="A28" s="91">
        <v>26</v>
      </c>
      <c r="B28" s="125" t="s">
        <v>136</v>
      </c>
      <c r="C28" s="91">
        <f>615+22</f>
        <v>637</v>
      </c>
      <c r="D28" s="91">
        <v>1035</v>
      </c>
      <c r="E28" s="90">
        <f t="shared" si="0"/>
        <v>61.5</v>
      </c>
      <c r="F28" s="91">
        <f t="shared" si="1"/>
        <v>254.8</v>
      </c>
      <c r="G28" s="91">
        <v>270</v>
      </c>
      <c r="H28" s="117">
        <f t="shared" si="2"/>
        <v>-1</v>
      </c>
      <c r="I28" s="126" t="s">
        <v>62</v>
      </c>
    </row>
    <row r="29" spans="1:9" s="52" customFormat="1" ht="26.25" customHeight="1" x14ac:dyDescent="0.25">
      <c r="A29" s="91">
        <v>27</v>
      </c>
      <c r="B29" s="125" t="s">
        <v>137</v>
      </c>
      <c r="C29" s="91">
        <f>825+20</f>
        <v>845</v>
      </c>
      <c r="D29" s="91">
        <v>1140</v>
      </c>
      <c r="E29" s="90">
        <f t="shared" si="0"/>
        <v>74.099999999999994</v>
      </c>
      <c r="F29" s="91">
        <f t="shared" si="1"/>
        <v>338</v>
      </c>
      <c r="G29" s="91">
        <v>270</v>
      </c>
      <c r="H29" s="117">
        <f t="shared" si="2"/>
        <v>2</v>
      </c>
      <c r="I29" s="126" t="s">
        <v>156</v>
      </c>
    </row>
    <row r="30" spans="1:9" s="52" customFormat="1" ht="26.25" customHeight="1" x14ac:dyDescent="0.25">
      <c r="A30" s="131" t="s">
        <v>92</v>
      </c>
      <c r="B30" s="131"/>
      <c r="C30" s="102" t="s">
        <v>96</v>
      </c>
      <c r="D30" s="129"/>
      <c r="E30" s="130"/>
      <c r="F30" s="94"/>
      <c r="G30" s="94"/>
      <c r="H30" s="96">
        <f>COUNT(H3:H29)</f>
        <v>21</v>
      </c>
      <c r="I30" s="87"/>
    </row>
    <row r="31" spans="1:9" s="5" customFormat="1" ht="18.75" customHeight="1" x14ac:dyDescent="0.25">
      <c r="B31" s="19"/>
      <c r="C31" s="65"/>
      <c r="D31" s="65"/>
      <c r="E31" s="65"/>
      <c r="F31" s="65"/>
      <c r="G31" s="65"/>
      <c r="H31" s="66"/>
      <c r="I31" s="56"/>
    </row>
    <row r="32" spans="1:9" s="5" customFormat="1" ht="18.75" customHeight="1" x14ac:dyDescent="0.25">
      <c r="B32" s="19"/>
      <c r="C32" s="67"/>
      <c r="D32" s="67"/>
      <c r="E32" s="67"/>
      <c r="F32" s="65"/>
      <c r="G32" s="65"/>
      <c r="H32" s="66"/>
      <c r="I32" s="10"/>
    </row>
    <row r="33" spans="2:9" s="5" customFormat="1" ht="18.75" customHeight="1" x14ac:dyDescent="0.25">
      <c r="B33" s="28" t="s">
        <v>104</v>
      </c>
      <c r="C33" s="65"/>
      <c r="D33" s="65"/>
      <c r="E33" s="65"/>
      <c r="F33" s="65"/>
      <c r="G33" s="65"/>
      <c r="H33" s="66"/>
      <c r="I33" s="10"/>
    </row>
    <row r="34" spans="2:9" s="5" customFormat="1" ht="18.75" customHeight="1" x14ac:dyDescent="0.25">
      <c r="B34" s="53" t="s">
        <v>102</v>
      </c>
      <c r="C34" s="67"/>
      <c r="D34" s="67"/>
      <c r="E34" s="67"/>
      <c r="F34" s="65"/>
      <c r="G34" s="65"/>
      <c r="H34" s="66"/>
      <c r="I34" s="10"/>
    </row>
    <row r="35" spans="2:9" s="5" customFormat="1" ht="18.75" customHeight="1" x14ac:dyDescent="0.25">
      <c r="B35" s="53" t="s">
        <v>103</v>
      </c>
      <c r="C35" s="74" t="s">
        <v>93</v>
      </c>
      <c r="D35" s="76"/>
      <c r="E35" s="75" t="s">
        <v>100</v>
      </c>
      <c r="F35" s="77"/>
      <c r="G35" s="77"/>
      <c r="H35" s="77"/>
      <c r="I35" s="11"/>
    </row>
    <row r="36" spans="2:9" s="5" customFormat="1" ht="11.25" customHeight="1" x14ac:dyDescent="0.25">
      <c r="B36" s="25"/>
      <c r="C36" s="68"/>
      <c r="D36" s="68"/>
      <c r="E36" s="68"/>
      <c r="F36" s="68"/>
      <c r="G36" s="68"/>
      <c r="H36" s="68"/>
      <c r="I36" s="9"/>
    </row>
    <row r="37" spans="2:9" s="5" customFormat="1" ht="18.75" customHeight="1" x14ac:dyDescent="0.25">
      <c r="B37" s="28" t="s">
        <v>110</v>
      </c>
      <c r="C37" s="68"/>
      <c r="D37" s="68"/>
      <c r="E37" s="68"/>
      <c r="F37" s="68"/>
      <c r="G37" s="68"/>
      <c r="H37" s="68"/>
      <c r="I37" s="9"/>
    </row>
    <row r="38" spans="2:9" s="5" customFormat="1" ht="20.25" customHeight="1" x14ac:dyDescent="0.25">
      <c r="B38" s="20" t="s">
        <v>111</v>
      </c>
      <c r="C38" s="69"/>
      <c r="D38" s="69"/>
      <c r="E38" s="69"/>
      <c r="F38" s="69"/>
      <c r="G38" s="70">
        <v>1</v>
      </c>
      <c r="H38" s="69"/>
      <c r="I38" s="62" t="s">
        <v>108</v>
      </c>
    </row>
    <row r="39" spans="2:9" ht="20.25" customHeight="1" x14ac:dyDescent="0.25">
      <c r="G39" s="72">
        <v>1</v>
      </c>
      <c r="I39" s="62" t="s">
        <v>109</v>
      </c>
    </row>
    <row r="40" spans="2:9" ht="18.75" customHeight="1" x14ac:dyDescent="0.25"/>
    <row r="41" spans="2:9" ht="18.75" customHeight="1" x14ac:dyDescent="0.25"/>
    <row r="42" spans="2:9" ht="18.75" customHeight="1" x14ac:dyDescent="0.25"/>
    <row r="43" spans="2:9" ht="18.75" customHeight="1" x14ac:dyDescent="0.25"/>
    <row r="44" spans="2:9" ht="18.75" customHeight="1" x14ac:dyDescent="0.25"/>
    <row r="45" spans="2:9" ht="18.75" customHeight="1" x14ac:dyDescent="0.25"/>
    <row r="46" spans="2:9" ht="18.75" customHeight="1" x14ac:dyDescent="0.25"/>
    <row r="47" spans="2:9" ht="18.75" customHeight="1" x14ac:dyDescent="0.25"/>
    <row r="48" spans="2:9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1:I1"/>
    <mergeCell ref="A30:B30"/>
  </mergeCells>
  <printOptions horizontalCentered="1"/>
  <pageMargins left="0.11811023622047245" right="0.11811023622047245" top="0.11811023622047245" bottom="0.1181102362204724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29"/>
  <sheetViews>
    <sheetView topLeftCell="A25" zoomScale="115" zoomScaleNormal="115" workbookViewId="0">
      <selection activeCell="B45" sqref="B45"/>
    </sheetView>
  </sheetViews>
  <sheetFormatPr defaultRowHeight="15" x14ac:dyDescent="0.25"/>
  <cols>
    <col min="1" max="1" width="4.5703125" style="3" customWidth="1"/>
    <col min="2" max="2" width="32.140625" style="3" customWidth="1"/>
    <col min="3" max="7" width="9.85546875" style="3" customWidth="1"/>
    <col min="8" max="8" width="10.42578125" style="3" hidden="1" customWidth="1"/>
    <col min="9" max="9" width="22.5703125" style="4" customWidth="1"/>
    <col min="10" max="10" width="17.42578125" style="4" customWidth="1"/>
    <col min="11" max="11" width="12.85546875" style="3" customWidth="1"/>
    <col min="12" max="16384" width="9.140625" style="3"/>
  </cols>
  <sheetData>
    <row r="1" spans="1:11" s="2" customFormat="1" ht="45.75" customHeight="1" x14ac:dyDescent="0.25">
      <c r="A1" s="137" t="s">
        <v>170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s="52" customFormat="1" ht="54" customHeight="1" x14ac:dyDescent="0.25">
      <c r="A2" s="118" t="s">
        <v>138</v>
      </c>
      <c r="B2" s="50" t="s">
        <v>52</v>
      </c>
      <c r="C2" s="50" t="s">
        <v>139</v>
      </c>
      <c r="D2" s="50" t="s">
        <v>53</v>
      </c>
      <c r="E2" s="50" t="s">
        <v>140</v>
      </c>
      <c r="F2" s="51" t="s">
        <v>55</v>
      </c>
      <c r="G2" s="51" t="s">
        <v>56</v>
      </c>
      <c r="H2" s="103" t="s">
        <v>57</v>
      </c>
      <c r="I2" s="106" t="s">
        <v>155</v>
      </c>
      <c r="J2" s="50" t="s">
        <v>171</v>
      </c>
      <c r="K2" s="50" t="s">
        <v>172</v>
      </c>
    </row>
    <row r="3" spans="1:11" s="52" customFormat="1" ht="20.25" customHeight="1" x14ac:dyDescent="0.25">
      <c r="A3" s="80">
        <v>1</v>
      </c>
      <c r="B3" s="82" t="s">
        <v>112</v>
      </c>
      <c r="C3" s="87">
        <f>780+38</f>
        <v>818</v>
      </c>
      <c r="D3" s="87">
        <v>1395</v>
      </c>
      <c r="E3" s="83">
        <f>ROUND(C3*100/D3,1)</f>
        <v>58.6</v>
      </c>
      <c r="F3" s="80">
        <f t="shared" ref="F3:F29" si="0">C3*0.4</f>
        <v>327.20000000000005</v>
      </c>
      <c r="G3" s="80">
        <v>270</v>
      </c>
      <c r="H3" s="104">
        <f>ROUND((F3-G3)/30,0)</f>
        <v>2</v>
      </c>
      <c r="I3" s="107" t="s">
        <v>154</v>
      </c>
      <c r="J3" s="80">
        <v>9</v>
      </c>
      <c r="K3" s="141">
        <f>VALUE(LEFT(I3,1))/J3*100</f>
        <v>33.333333333333329</v>
      </c>
    </row>
    <row r="4" spans="1:11" s="52" customFormat="1" ht="20.25" customHeight="1" x14ac:dyDescent="0.25">
      <c r="A4" s="80">
        <v>2</v>
      </c>
      <c r="B4" s="82" t="s">
        <v>113</v>
      </c>
      <c r="C4" s="80">
        <f>1020+30</f>
        <v>1050</v>
      </c>
      <c r="D4" s="80">
        <v>1515</v>
      </c>
      <c r="E4" s="80">
        <f t="shared" ref="E4:E29" si="1">ROUND(C4*100/D4,1)</f>
        <v>69.3</v>
      </c>
      <c r="F4" s="80">
        <f t="shared" si="0"/>
        <v>420</v>
      </c>
      <c r="G4" s="80">
        <v>270</v>
      </c>
      <c r="H4" s="104">
        <f t="shared" ref="H4:H29" si="2">ROUND((F4-G4)/30,0)</f>
        <v>5</v>
      </c>
      <c r="I4" s="107" t="s">
        <v>64</v>
      </c>
      <c r="J4" s="80">
        <v>12</v>
      </c>
      <c r="K4" s="141">
        <f t="shared" ref="K4:K29" si="3">VALUE(LEFT(I4,1))/J4*100</f>
        <v>41.666666666666671</v>
      </c>
    </row>
    <row r="5" spans="1:11" s="52" customFormat="1" ht="20.25" customHeight="1" x14ac:dyDescent="0.25">
      <c r="A5" s="80">
        <v>3</v>
      </c>
      <c r="B5" s="82" t="s">
        <v>114</v>
      </c>
      <c r="C5" s="87">
        <f>1020+30</f>
        <v>1050</v>
      </c>
      <c r="D5" s="87">
        <v>1515</v>
      </c>
      <c r="E5" s="80">
        <f t="shared" si="1"/>
        <v>69.3</v>
      </c>
      <c r="F5" s="80">
        <f t="shared" si="0"/>
        <v>420</v>
      </c>
      <c r="G5" s="80">
        <v>270</v>
      </c>
      <c r="H5" s="104">
        <f t="shared" si="2"/>
        <v>5</v>
      </c>
      <c r="I5" s="107" t="s">
        <v>64</v>
      </c>
      <c r="J5" s="80">
        <v>12</v>
      </c>
      <c r="K5" s="141">
        <f t="shared" si="3"/>
        <v>41.666666666666671</v>
      </c>
    </row>
    <row r="6" spans="1:11" s="52" customFormat="1" ht="20.25" customHeight="1" x14ac:dyDescent="0.25">
      <c r="A6" s="80">
        <v>4</v>
      </c>
      <c r="B6" s="82" t="s">
        <v>115</v>
      </c>
      <c r="C6" s="80">
        <f>1020+30</f>
        <v>1050</v>
      </c>
      <c r="D6" s="80">
        <v>1515</v>
      </c>
      <c r="E6" s="80">
        <f t="shared" si="1"/>
        <v>69.3</v>
      </c>
      <c r="F6" s="80">
        <f t="shared" si="0"/>
        <v>420</v>
      </c>
      <c r="G6" s="80">
        <v>270</v>
      </c>
      <c r="H6" s="104">
        <f t="shared" si="2"/>
        <v>5</v>
      </c>
      <c r="I6" s="107" t="s">
        <v>64</v>
      </c>
      <c r="J6" s="80">
        <v>12</v>
      </c>
      <c r="K6" s="141">
        <f t="shared" si="3"/>
        <v>41.666666666666671</v>
      </c>
    </row>
    <row r="7" spans="1:11" s="52" customFormat="1" ht="20.25" customHeight="1" x14ac:dyDescent="0.25">
      <c r="A7" s="80">
        <v>5</v>
      </c>
      <c r="B7" s="82" t="s">
        <v>116</v>
      </c>
      <c r="C7" s="80">
        <f>1020+30</f>
        <v>1050</v>
      </c>
      <c r="D7" s="80">
        <v>1515</v>
      </c>
      <c r="E7" s="80">
        <f t="shared" si="1"/>
        <v>69.3</v>
      </c>
      <c r="F7" s="80">
        <f t="shared" si="0"/>
        <v>420</v>
      </c>
      <c r="G7" s="80">
        <v>270</v>
      </c>
      <c r="H7" s="104">
        <f t="shared" si="2"/>
        <v>5</v>
      </c>
      <c r="I7" s="107" t="s">
        <v>64</v>
      </c>
      <c r="J7" s="80">
        <v>12</v>
      </c>
      <c r="K7" s="141">
        <f t="shared" si="3"/>
        <v>41.666666666666671</v>
      </c>
    </row>
    <row r="8" spans="1:11" s="52" customFormat="1" ht="20.25" customHeight="1" x14ac:dyDescent="0.25">
      <c r="A8" s="80">
        <v>6</v>
      </c>
      <c r="B8" s="82" t="s">
        <v>117</v>
      </c>
      <c r="C8" s="80">
        <f>932</f>
        <v>932</v>
      </c>
      <c r="D8" s="80">
        <v>1455</v>
      </c>
      <c r="E8" s="80">
        <f t="shared" si="1"/>
        <v>64.099999999999994</v>
      </c>
      <c r="F8" s="80">
        <f t="shared" si="0"/>
        <v>372.8</v>
      </c>
      <c r="G8" s="80">
        <v>270</v>
      </c>
      <c r="H8" s="104">
        <f t="shared" si="2"/>
        <v>3</v>
      </c>
      <c r="I8" s="107" t="s">
        <v>151</v>
      </c>
      <c r="J8" s="80">
        <v>7</v>
      </c>
      <c r="K8" s="142">
        <f t="shared" si="3"/>
        <v>28.571428571428569</v>
      </c>
    </row>
    <row r="9" spans="1:11" s="52" customFormat="1" ht="20.25" customHeight="1" x14ac:dyDescent="0.25">
      <c r="A9" s="80">
        <v>7</v>
      </c>
      <c r="B9" s="82" t="s">
        <v>118</v>
      </c>
      <c r="C9" s="80">
        <f>990+30</f>
        <v>1020</v>
      </c>
      <c r="D9" s="80">
        <v>1500</v>
      </c>
      <c r="E9" s="80">
        <f t="shared" si="1"/>
        <v>68</v>
      </c>
      <c r="F9" s="80">
        <f t="shared" si="0"/>
        <v>408</v>
      </c>
      <c r="G9" s="80">
        <v>270</v>
      </c>
      <c r="H9" s="104">
        <f t="shared" si="2"/>
        <v>5</v>
      </c>
      <c r="I9" s="107" t="s">
        <v>150</v>
      </c>
      <c r="J9" s="80">
        <v>8</v>
      </c>
      <c r="K9" s="141">
        <f t="shared" si="3"/>
        <v>37.5</v>
      </c>
    </row>
    <row r="10" spans="1:11" s="52" customFormat="1" ht="20.25" customHeight="1" x14ac:dyDescent="0.25">
      <c r="A10" s="80">
        <v>8</v>
      </c>
      <c r="B10" s="82" t="s">
        <v>119</v>
      </c>
      <c r="C10" s="80">
        <f>990+30</f>
        <v>1020</v>
      </c>
      <c r="D10" s="80">
        <v>1500</v>
      </c>
      <c r="E10" s="80">
        <f t="shared" si="1"/>
        <v>68</v>
      </c>
      <c r="F10" s="80">
        <f t="shared" si="0"/>
        <v>408</v>
      </c>
      <c r="G10" s="80">
        <v>270</v>
      </c>
      <c r="H10" s="104">
        <f t="shared" si="2"/>
        <v>5</v>
      </c>
      <c r="I10" s="107" t="s">
        <v>150</v>
      </c>
      <c r="J10" s="80">
        <v>8</v>
      </c>
      <c r="K10" s="141">
        <f t="shared" si="3"/>
        <v>37.5</v>
      </c>
    </row>
    <row r="11" spans="1:11" s="52" customFormat="1" ht="20.25" customHeight="1" x14ac:dyDescent="0.25">
      <c r="A11" s="80">
        <v>9</v>
      </c>
      <c r="B11" s="82" t="s">
        <v>146</v>
      </c>
      <c r="C11" s="80">
        <f>990+28</f>
        <v>1018</v>
      </c>
      <c r="D11" s="80">
        <v>1500</v>
      </c>
      <c r="E11" s="80">
        <f t="shared" si="1"/>
        <v>67.900000000000006</v>
      </c>
      <c r="F11" s="80">
        <f t="shared" si="0"/>
        <v>407.20000000000005</v>
      </c>
      <c r="G11" s="80">
        <v>270</v>
      </c>
      <c r="H11" s="104">
        <f t="shared" si="2"/>
        <v>5</v>
      </c>
      <c r="I11" s="107" t="s">
        <v>62</v>
      </c>
      <c r="J11" s="80">
        <v>10</v>
      </c>
      <c r="K11" s="141">
        <f t="shared" si="3"/>
        <v>40</v>
      </c>
    </row>
    <row r="12" spans="1:11" s="52" customFormat="1" ht="20.25" customHeight="1" x14ac:dyDescent="0.25">
      <c r="A12" s="80">
        <v>10</v>
      </c>
      <c r="B12" s="82" t="s">
        <v>120</v>
      </c>
      <c r="C12" s="80"/>
      <c r="D12" s="80"/>
      <c r="E12" s="80"/>
      <c r="F12" s="80"/>
      <c r="G12" s="80"/>
      <c r="H12" s="104"/>
      <c r="I12" s="108"/>
      <c r="J12" s="80"/>
      <c r="K12" s="141"/>
    </row>
    <row r="13" spans="1:11" s="52" customFormat="1" ht="20.25" customHeight="1" x14ac:dyDescent="0.25">
      <c r="A13" s="80">
        <v>11</v>
      </c>
      <c r="B13" s="82" t="s">
        <v>121</v>
      </c>
      <c r="C13" s="80">
        <f>1050+26</f>
        <v>1076</v>
      </c>
      <c r="D13" s="80">
        <v>1530</v>
      </c>
      <c r="E13" s="80">
        <f t="shared" si="1"/>
        <v>70.3</v>
      </c>
      <c r="F13" s="80">
        <f t="shared" si="0"/>
        <v>430.40000000000003</v>
      </c>
      <c r="G13" s="80">
        <v>270</v>
      </c>
      <c r="H13" s="104">
        <f t="shared" si="2"/>
        <v>5</v>
      </c>
      <c r="I13" s="107" t="s">
        <v>75</v>
      </c>
      <c r="J13" s="80">
        <v>10</v>
      </c>
      <c r="K13" s="141">
        <f t="shared" si="3"/>
        <v>40</v>
      </c>
    </row>
    <row r="14" spans="1:11" s="52" customFormat="1" ht="20.25" customHeight="1" x14ac:dyDescent="0.25">
      <c r="A14" s="80">
        <v>12</v>
      </c>
      <c r="B14" s="82" t="s">
        <v>122</v>
      </c>
      <c r="C14" s="80">
        <f>1050+26</f>
        <v>1076</v>
      </c>
      <c r="D14" s="80">
        <v>1530</v>
      </c>
      <c r="E14" s="80">
        <f t="shared" si="1"/>
        <v>70.3</v>
      </c>
      <c r="F14" s="80">
        <f t="shared" si="0"/>
        <v>430.40000000000003</v>
      </c>
      <c r="G14" s="80">
        <v>270</v>
      </c>
      <c r="H14" s="104">
        <f t="shared" si="2"/>
        <v>5</v>
      </c>
      <c r="I14" s="107" t="s">
        <v>75</v>
      </c>
      <c r="J14" s="80">
        <v>10</v>
      </c>
      <c r="K14" s="141">
        <f t="shared" si="3"/>
        <v>40</v>
      </c>
    </row>
    <row r="15" spans="1:11" s="52" customFormat="1" ht="20.25" customHeight="1" x14ac:dyDescent="0.25">
      <c r="A15" s="80">
        <v>13</v>
      </c>
      <c r="B15" s="82" t="s">
        <v>123</v>
      </c>
      <c r="C15" s="80">
        <f>975+32</f>
        <v>1007</v>
      </c>
      <c r="D15" s="80">
        <v>1500</v>
      </c>
      <c r="E15" s="80">
        <f t="shared" si="1"/>
        <v>67.099999999999994</v>
      </c>
      <c r="F15" s="80">
        <f t="shared" si="0"/>
        <v>402.8</v>
      </c>
      <c r="G15" s="80">
        <v>270</v>
      </c>
      <c r="H15" s="104">
        <f t="shared" si="2"/>
        <v>4</v>
      </c>
      <c r="I15" s="107" t="s">
        <v>152</v>
      </c>
      <c r="J15" s="80">
        <v>9</v>
      </c>
      <c r="K15" s="141">
        <f t="shared" si="3"/>
        <v>44.444444444444443</v>
      </c>
    </row>
    <row r="16" spans="1:11" s="52" customFormat="1" ht="20.25" customHeight="1" x14ac:dyDescent="0.25">
      <c r="A16" s="80">
        <v>14</v>
      </c>
      <c r="B16" s="82" t="s">
        <v>124</v>
      </c>
      <c r="C16" s="80">
        <f>990+26</f>
        <v>1016</v>
      </c>
      <c r="D16" s="80">
        <v>1500</v>
      </c>
      <c r="E16" s="80">
        <f t="shared" si="1"/>
        <v>67.7</v>
      </c>
      <c r="F16" s="80">
        <f t="shared" si="0"/>
        <v>406.40000000000003</v>
      </c>
      <c r="G16" s="80">
        <v>270</v>
      </c>
      <c r="H16" s="104">
        <f t="shared" si="2"/>
        <v>5</v>
      </c>
      <c r="I16" s="107" t="s">
        <v>77</v>
      </c>
      <c r="J16" s="80">
        <v>13</v>
      </c>
      <c r="K16" s="141">
        <f t="shared" si="3"/>
        <v>30.76923076923077</v>
      </c>
    </row>
    <row r="17" spans="1:11" s="52" customFormat="1" ht="20.25" customHeight="1" x14ac:dyDescent="0.25">
      <c r="A17" s="80">
        <v>15</v>
      </c>
      <c r="B17" s="82" t="s">
        <v>125</v>
      </c>
      <c r="C17" s="80">
        <f>1050+34</f>
        <v>1084</v>
      </c>
      <c r="D17" s="80">
        <v>1530</v>
      </c>
      <c r="E17" s="80">
        <f t="shared" si="1"/>
        <v>70.8</v>
      </c>
      <c r="F17" s="80">
        <f t="shared" si="0"/>
        <v>433.6</v>
      </c>
      <c r="G17" s="80">
        <v>270</v>
      </c>
      <c r="H17" s="104">
        <f t="shared" si="2"/>
        <v>5</v>
      </c>
      <c r="I17" s="110" t="s">
        <v>147</v>
      </c>
      <c r="J17" s="80">
        <v>16</v>
      </c>
      <c r="K17" s="141">
        <f>VALUE(LEFT(I17,1))/J17*100</f>
        <v>31.25</v>
      </c>
    </row>
    <row r="18" spans="1:11" s="52" customFormat="1" ht="20.25" customHeight="1" x14ac:dyDescent="0.25">
      <c r="A18" s="80">
        <v>16</v>
      </c>
      <c r="B18" s="82" t="s">
        <v>126</v>
      </c>
      <c r="C18" s="80">
        <f>1020+38</f>
        <v>1058</v>
      </c>
      <c r="D18" s="80">
        <v>1515</v>
      </c>
      <c r="E18" s="80">
        <f t="shared" si="1"/>
        <v>69.8</v>
      </c>
      <c r="F18" s="80">
        <f t="shared" si="0"/>
        <v>423.20000000000005</v>
      </c>
      <c r="G18" s="80">
        <v>270</v>
      </c>
      <c r="H18" s="104">
        <f t="shared" si="2"/>
        <v>5</v>
      </c>
      <c r="I18" s="110" t="s">
        <v>148</v>
      </c>
      <c r="J18" s="80">
        <v>20</v>
      </c>
      <c r="K18" s="141">
        <f t="shared" si="3"/>
        <v>30</v>
      </c>
    </row>
    <row r="19" spans="1:11" s="52" customFormat="1" ht="20.25" customHeight="1" x14ac:dyDescent="0.25">
      <c r="A19" s="80">
        <v>17</v>
      </c>
      <c r="B19" s="82" t="s">
        <v>127</v>
      </c>
      <c r="C19" s="80">
        <f>1020+38</f>
        <v>1058</v>
      </c>
      <c r="D19" s="80">
        <v>1515</v>
      </c>
      <c r="E19" s="80">
        <f t="shared" si="1"/>
        <v>69.8</v>
      </c>
      <c r="F19" s="80">
        <f t="shared" si="0"/>
        <v>423.20000000000005</v>
      </c>
      <c r="G19" s="80">
        <v>270</v>
      </c>
      <c r="H19" s="104">
        <f t="shared" si="2"/>
        <v>5</v>
      </c>
      <c r="I19" s="110" t="s">
        <v>148</v>
      </c>
      <c r="J19" s="80">
        <v>19</v>
      </c>
      <c r="K19" s="141">
        <f t="shared" si="3"/>
        <v>31.578947368421051</v>
      </c>
    </row>
    <row r="20" spans="1:11" s="52" customFormat="1" ht="20.25" customHeight="1" x14ac:dyDescent="0.25">
      <c r="A20" s="80">
        <v>18</v>
      </c>
      <c r="B20" s="82" t="s">
        <v>128</v>
      </c>
      <c r="C20" s="80">
        <f>1080+40</f>
        <v>1120</v>
      </c>
      <c r="D20" s="80">
        <v>1545</v>
      </c>
      <c r="E20" s="80">
        <f t="shared" si="1"/>
        <v>72.5</v>
      </c>
      <c r="F20" s="80">
        <f t="shared" si="0"/>
        <v>448</v>
      </c>
      <c r="G20" s="80">
        <v>270</v>
      </c>
      <c r="H20" s="104">
        <f t="shared" si="2"/>
        <v>6</v>
      </c>
      <c r="I20" s="110" t="s">
        <v>149</v>
      </c>
      <c r="J20" s="80">
        <v>20</v>
      </c>
      <c r="K20" s="142">
        <f t="shared" si="3"/>
        <v>25</v>
      </c>
    </row>
    <row r="21" spans="1:11" s="52" customFormat="1" ht="20.25" customHeight="1" x14ac:dyDescent="0.25">
      <c r="A21" s="80">
        <v>19</v>
      </c>
      <c r="B21" s="82" t="s">
        <v>129</v>
      </c>
      <c r="C21" s="80"/>
      <c r="D21" s="80"/>
      <c r="E21" s="80"/>
      <c r="F21" s="80"/>
      <c r="G21" s="80"/>
      <c r="H21" s="104"/>
      <c r="I21" s="108"/>
      <c r="J21" s="80"/>
      <c r="K21" s="141"/>
    </row>
    <row r="22" spans="1:11" s="52" customFormat="1" ht="20.25" customHeight="1" x14ac:dyDescent="0.25">
      <c r="A22" s="80">
        <v>20</v>
      </c>
      <c r="B22" s="82" t="s">
        <v>130</v>
      </c>
      <c r="C22" s="80">
        <f>1050+34</f>
        <v>1084</v>
      </c>
      <c r="D22" s="80">
        <v>1530</v>
      </c>
      <c r="E22" s="80">
        <f t="shared" si="1"/>
        <v>70.8</v>
      </c>
      <c r="F22" s="80">
        <f t="shared" si="0"/>
        <v>433.6</v>
      </c>
      <c r="G22" s="80">
        <v>270</v>
      </c>
      <c r="H22" s="104">
        <f t="shared" si="2"/>
        <v>5</v>
      </c>
      <c r="I22" s="110" t="s">
        <v>149</v>
      </c>
      <c r="J22" s="80">
        <v>18</v>
      </c>
      <c r="K22" s="142">
        <f t="shared" si="3"/>
        <v>27.777777777777779</v>
      </c>
    </row>
    <row r="23" spans="1:11" s="52" customFormat="1" ht="20.25" customHeight="1" x14ac:dyDescent="0.25">
      <c r="A23" s="80">
        <v>21</v>
      </c>
      <c r="B23" s="82" t="s">
        <v>131</v>
      </c>
      <c r="C23" s="80">
        <f>1080+34</f>
        <v>1114</v>
      </c>
      <c r="D23" s="80">
        <v>1545</v>
      </c>
      <c r="E23" s="80">
        <f t="shared" si="1"/>
        <v>72.099999999999994</v>
      </c>
      <c r="F23" s="80">
        <f t="shared" si="0"/>
        <v>445.6</v>
      </c>
      <c r="G23" s="80">
        <v>270</v>
      </c>
      <c r="H23" s="104">
        <f t="shared" si="2"/>
        <v>6</v>
      </c>
      <c r="I23" s="110" t="s">
        <v>149</v>
      </c>
      <c r="J23" s="80">
        <v>17</v>
      </c>
      <c r="K23" s="142">
        <f t="shared" si="3"/>
        <v>29.411764705882355</v>
      </c>
    </row>
    <row r="24" spans="1:11" s="52" customFormat="1" ht="20.25" customHeight="1" x14ac:dyDescent="0.25">
      <c r="A24" s="80">
        <v>22</v>
      </c>
      <c r="B24" s="82" t="s">
        <v>132</v>
      </c>
      <c r="C24" s="80"/>
      <c r="D24" s="80"/>
      <c r="E24" s="80"/>
      <c r="F24" s="80"/>
      <c r="G24" s="80"/>
      <c r="H24" s="104"/>
      <c r="I24" s="108"/>
      <c r="J24" s="80"/>
      <c r="K24" s="141"/>
    </row>
    <row r="25" spans="1:11" s="52" customFormat="1" ht="20.25" customHeight="1" x14ac:dyDescent="0.25">
      <c r="A25" s="80">
        <v>23</v>
      </c>
      <c r="B25" s="82" t="s">
        <v>133</v>
      </c>
      <c r="C25" s="87">
        <f>780+28</f>
        <v>808</v>
      </c>
      <c r="D25" s="87">
        <v>1380</v>
      </c>
      <c r="E25" s="83">
        <f t="shared" si="1"/>
        <v>58.6</v>
      </c>
      <c r="F25" s="80">
        <f t="shared" si="0"/>
        <v>323.20000000000005</v>
      </c>
      <c r="G25" s="80">
        <v>270</v>
      </c>
      <c r="H25" s="104">
        <f t="shared" si="2"/>
        <v>2</v>
      </c>
      <c r="I25" s="107" t="s">
        <v>154</v>
      </c>
      <c r="J25" s="80">
        <v>6</v>
      </c>
      <c r="K25" s="141">
        <f t="shared" si="3"/>
        <v>50</v>
      </c>
    </row>
    <row r="26" spans="1:11" s="52" customFormat="1" ht="20.25" customHeight="1" x14ac:dyDescent="0.25">
      <c r="A26" s="80">
        <v>24</v>
      </c>
      <c r="B26" s="82" t="s">
        <v>134</v>
      </c>
      <c r="C26" s="80">
        <f>810+34</f>
        <v>844</v>
      </c>
      <c r="D26" s="80">
        <v>1395</v>
      </c>
      <c r="E26" s="80">
        <f t="shared" si="1"/>
        <v>60.5</v>
      </c>
      <c r="F26" s="80">
        <f t="shared" si="0"/>
        <v>337.6</v>
      </c>
      <c r="G26" s="80">
        <v>270</v>
      </c>
      <c r="H26" s="104">
        <f t="shared" si="2"/>
        <v>2</v>
      </c>
      <c r="I26" s="119" t="s">
        <v>62</v>
      </c>
      <c r="J26" s="80">
        <v>11</v>
      </c>
      <c r="K26" s="141">
        <f>VALUE(LEFT(I26,1))/J26*100</f>
        <v>36.363636363636367</v>
      </c>
    </row>
    <row r="27" spans="1:11" s="52" customFormat="1" ht="20.25" customHeight="1" x14ac:dyDescent="0.25">
      <c r="A27" s="80">
        <v>25</v>
      </c>
      <c r="B27" s="82" t="s">
        <v>135</v>
      </c>
      <c r="C27" s="80"/>
      <c r="D27" s="80"/>
      <c r="E27" s="80"/>
      <c r="F27" s="80"/>
      <c r="G27" s="80"/>
      <c r="H27" s="104"/>
      <c r="I27" s="108"/>
      <c r="J27" s="80"/>
      <c r="K27" s="141"/>
    </row>
    <row r="28" spans="1:11" s="52" customFormat="1" ht="20.25" customHeight="1" x14ac:dyDescent="0.25">
      <c r="A28" s="80">
        <v>26</v>
      </c>
      <c r="B28" s="82" t="s">
        <v>136</v>
      </c>
      <c r="C28" s="80">
        <f>840+36</f>
        <v>876</v>
      </c>
      <c r="D28" s="80">
        <v>1455</v>
      </c>
      <c r="E28" s="80">
        <f t="shared" si="1"/>
        <v>60.2</v>
      </c>
      <c r="F28" s="80">
        <f t="shared" si="0"/>
        <v>350.40000000000003</v>
      </c>
      <c r="G28" s="80">
        <v>270</v>
      </c>
      <c r="H28" s="104">
        <f t="shared" si="2"/>
        <v>3</v>
      </c>
      <c r="I28" s="107" t="s">
        <v>62</v>
      </c>
      <c r="J28" s="80">
        <v>9</v>
      </c>
      <c r="K28" s="141">
        <f t="shared" si="3"/>
        <v>44.444444444444443</v>
      </c>
    </row>
    <row r="29" spans="1:11" s="52" customFormat="1" ht="20.25" customHeight="1" x14ac:dyDescent="0.25">
      <c r="A29" s="80">
        <v>27</v>
      </c>
      <c r="B29" s="82" t="s">
        <v>137</v>
      </c>
      <c r="C29" s="80">
        <f>1050+36</f>
        <v>1086</v>
      </c>
      <c r="D29" s="80">
        <v>1530</v>
      </c>
      <c r="E29" s="80">
        <f t="shared" si="1"/>
        <v>71</v>
      </c>
      <c r="F29" s="80">
        <f t="shared" si="0"/>
        <v>434.40000000000003</v>
      </c>
      <c r="G29" s="80">
        <v>270</v>
      </c>
      <c r="H29" s="104">
        <f t="shared" si="2"/>
        <v>5</v>
      </c>
      <c r="I29" s="107" t="s">
        <v>174</v>
      </c>
      <c r="J29" s="80">
        <v>10</v>
      </c>
      <c r="K29" s="141">
        <f t="shared" si="3"/>
        <v>30</v>
      </c>
    </row>
    <row r="30" spans="1:11" s="52" customFormat="1" ht="20.25" customHeight="1" x14ac:dyDescent="0.25">
      <c r="A30" s="131" t="s">
        <v>92</v>
      </c>
      <c r="B30" s="131"/>
      <c r="C30" s="99" t="s">
        <v>173</v>
      </c>
      <c r="D30" s="79"/>
      <c r="E30" s="79"/>
      <c r="F30" s="80"/>
      <c r="G30" s="80"/>
      <c r="H30" s="87">
        <f>COUNT(H3:H29)</f>
        <v>23</v>
      </c>
      <c r="I30" s="80"/>
      <c r="J30" s="80"/>
      <c r="K30" s="79">
        <f>COUNTIF(K3:K29,"&gt;=30")</f>
        <v>19</v>
      </c>
    </row>
    <row r="31" spans="1:11" s="5" customFormat="1" ht="18.75" hidden="1" customHeight="1" x14ac:dyDescent="0.25">
      <c r="A31" s="57"/>
      <c r="B31" s="57"/>
      <c r="C31" s="11"/>
      <c r="D31" s="11"/>
      <c r="E31" s="11"/>
      <c r="F31" s="11"/>
      <c r="G31" s="11"/>
      <c r="H31" s="11"/>
      <c r="I31" s="11"/>
      <c r="J31" s="9"/>
    </row>
    <row r="32" spans="1:11" s="5" customFormat="1" ht="18.75" hidden="1" customHeight="1" x14ac:dyDescent="0.25">
      <c r="A32" s="57"/>
      <c r="B32" s="57"/>
      <c r="C32" s="11"/>
      <c r="D32" s="11"/>
      <c r="E32" s="11"/>
      <c r="F32" s="11"/>
      <c r="G32" s="11"/>
      <c r="H32" s="11"/>
      <c r="I32" s="11"/>
      <c r="J32" s="9"/>
    </row>
    <row r="33" spans="1:13" s="5" customFormat="1" ht="18.75" hidden="1" customHeight="1" x14ac:dyDescent="0.25">
      <c r="A33" s="57"/>
      <c r="B33" s="114" t="s">
        <v>104</v>
      </c>
      <c r="C33" s="11"/>
      <c r="D33" s="11"/>
      <c r="E33" s="11"/>
      <c r="F33" s="11"/>
      <c r="G33" s="11"/>
      <c r="H33" s="11"/>
      <c r="I33" s="11"/>
      <c r="J33" s="9"/>
    </row>
    <row r="34" spans="1:13" s="5" customFormat="1" ht="18.75" hidden="1" customHeight="1" x14ac:dyDescent="0.25">
      <c r="A34" s="57"/>
      <c r="B34" s="115" t="s">
        <v>102</v>
      </c>
      <c r="C34" s="11"/>
      <c r="D34" s="11"/>
      <c r="E34" s="11"/>
      <c r="F34" s="11"/>
      <c r="G34" s="11"/>
      <c r="H34" s="11"/>
      <c r="I34" s="11"/>
      <c r="J34" s="9"/>
    </row>
    <row r="35" spans="1:13" s="5" customFormat="1" ht="18.75" hidden="1" customHeight="1" x14ac:dyDescent="0.25">
      <c r="A35" s="57"/>
      <c r="B35" s="115" t="s">
        <v>103</v>
      </c>
      <c r="C35" s="11"/>
      <c r="D35" s="11"/>
      <c r="E35" s="11"/>
      <c r="F35" s="11"/>
      <c r="G35" s="11"/>
      <c r="H35" s="11"/>
      <c r="I35" s="11"/>
      <c r="J35" s="9"/>
    </row>
    <row r="36" spans="1:13" s="5" customFormat="1" ht="11.25" hidden="1" customHeight="1" x14ac:dyDescent="0.25">
      <c r="A36" s="57"/>
      <c r="B36" s="11"/>
      <c r="C36" s="11"/>
      <c r="D36" s="11"/>
      <c r="E36" s="49"/>
      <c r="F36" s="11"/>
      <c r="G36" s="11"/>
      <c r="H36" s="11"/>
      <c r="I36" s="11"/>
      <c r="J36" s="9"/>
    </row>
    <row r="37" spans="1:13" s="5" customFormat="1" ht="18.75" hidden="1" customHeight="1" x14ac:dyDescent="0.25">
      <c r="A37" s="57"/>
      <c r="B37" s="114" t="s">
        <v>110</v>
      </c>
      <c r="C37" s="11"/>
      <c r="D37" s="11"/>
      <c r="E37" s="11"/>
      <c r="F37" s="11"/>
      <c r="G37" s="11"/>
      <c r="H37" s="11"/>
      <c r="I37" s="11"/>
      <c r="J37" s="9"/>
    </row>
    <row r="38" spans="1:13" s="5" customFormat="1" ht="20.25" hidden="1" customHeight="1" x14ac:dyDescent="0.25">
      <c r="A38" s="57"/>
      <c r="B38" s="116" t="s">
        <v>111</v>
      </c>
      <c r="C38" s="57"/>
      <c r="D38" s="57"/>
      <c r="E38" s="116"/>
      <c r="F38" s="57"/>
      <c r="G38" s="57"/>
      <c r="H38" s="57"/>
      <c r="I38" s="11"/>
      <c r="J38" s="9"/>
    </row>
    <row r="39" spans="1:13" ht="20.25" hidden="1" customHeight="1" x14ac:dyDescent="0.25"/>
    <row r="40" spans="1:13" ht="13.5" customHeight="1" x14ac:dyDescent="0.25">
      <c r="M40" s="3">
        <f>19/23</f>
        <v>0.82608695652173914</v>
      </c>
    </row>
    <row r="41" spans="1:13" ht="18.75" customHeight="1" x14ac:dyDescent="0.25">
      <c r="B41" s="3" t="s">
        <v>175</v>
      </c>
    </row>
    <row r="42" spans="1:13" ht="18.75" customHeight="1" x14ac:dyDescent="0.25"/>
    <row r="43" spans="1:13" ht="18.75" customHeight="1" x14ac:dyDescent="0.25"/>
    <row r="44" spans="1:13" ht="18.75" customHeight="1" x14ac:dyDescent="0.25"/>
    <row r="45" spans="1:13" ht="18.75" customHeight="1" x14ac:dyDescent="0.25"/>
    <row r="46" spans="1:13" ht="18.75" customHeight="1" x14ac:dyDescent="0.25"/>
    <row r="47" spans="1:13" ht="18.75" customHeight="1" x14ac:dyDescent="0.25"/>
    <row r="48" spans="1:13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</sheetData>
  <mergeCells count="2">
    <mergeCell ref="A30:B30"/>
    <mergeCell ref="A1:J1"/>
  </mergeCells>
  <printOptions horizontalCentered="1"/>
  <pageMargins left="0.19685039370078741" right="0.19685039370078741" top="0.11811023622047245" bottom="0.1181102362204724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0"/>
  <sheetViews>
    <sheetView tabSelected="1" topLeftCell="A23" zoomScale="115" zoomScaleNormal="115" workbookViewId="0">
      <selection activeCell="J45" sqref="J45"/>
    </sheetView>
  </sheetViews>
  <sheetFormatPr defaultRowHeight="15" x14ac:dyDescent="0.25"/>
  <cols>
    <col min="1" max="1" width="3.5703125" style="3" customWidth="1"/>
    <col min="2" max="2" width="32.28515625" style="3" customWidth="1"/>
    <col min="3" max="6" width="10.7109375" style="71" customWidth="1"/>
    <col min="7" max="7" width="10.7109375" style="73" customWidth="1"/>
    <col min="8" max="8" width="10.7109375" style="71" hidden="1" customWidth="1"/>
    <col min="9" max="9" width="25.28515625" style="4" customWidth="1"/>
    <col min="10" max="11" width="14.5703125" style="4" customWidth="1"/>
    <col min="12" max="16384" width="9.140625" style="3"/>
  </cols>
  <sheetData>
    <row r="1" spans="1:11" s="2" customFormat="1" ht="45.75" customHeight="1" x14ac:dyDescent="0.25">
      <c r="A1" s="137" t="s">
        <v>176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s="52" customFormat="1" ht="51.75" customHeight="1" x14ac:dyDescent="0.25">
      <c r="A2" s="118" t="s">
        <v>138</v>
      </c>
      <c r="B2" s="50" t="s">
        <v>52</v>
      </c>
      <c r="C2" s="50" t="s">
        <v>139</v>
      </c>
      <c r="D2" s="50" t="s">
        <v>53</v>
      </c>
      <c r="E2" s="50" t="s">
        <v>140</v>
      </c>
      <c r="F2" s="51" t="s">
        <v>55</v>
      </c>
      <c r="G2" s="51" t="s">
        <v>56</v>
      </c>
      <c r="H2" s="103" t="s">
        <v>57</v>
      </c>
      <c r="I2" s="106" t="s">
        <v>155</v>
      </c>
      <c r="J2" s="50" t="s">
        <v>171</v>
      </c>
      <c r="K2" s="50" t="s">
        <v>172</v>
      </c>
    </row>
    <row r="3" spans="1:11" s="52" customFormat="1" ht="22.5" customHeight="1" x14ac:dyDescent="0.25">
      <c r="A3" s="91">
        <v>1</v>
      </c>
      <c r="B3" s="125" t="s">
        <v>112</v>
      </c>
      <c r="C3" s="90">
        <f>645+20</f>
        <v>665</v>
      </c>
      <c r="D3" s="90">
        <v>1050</v>
      </c>
      <c r="E3" s="90">
        <f>ROUND(C3*100/D3,1)</f>
        <v>63.3</v>
      </c>
      <c r="F3" s="91">
        <f>C3*0.4</f>
        <v>266</v>
      </c>
      <c r="G3" s="91">
        <v>270</v>
      </c>
      <c r="H3" s="117">
        <f>ROUND((F3-G3)/30,0)</f>
        <v>0</v>
      </c>
      <c r="I3" s="126" t="s">
        <v>158</v>
      </c>
      <c r="J3" s="143">
        <v>5</v>
      </c>
      <c r="K3" s="141">
        <f>VALUE(LEFT(I3,1))/J3*100</f>
        <v>100</v>
      </c>
    </row>
    <row r="4" spans="1:11" s="52" customFormat="1" ht="22.5" customHeight="1" x14ac:dyDescent="0.25">
      <c r="A4" s="91">
        <v>2</v>
      </c>
      <c r="B4" s="125" t="s">
        <v>113</v>
      </c>
      <c r="C4" s="91">
        <f>795+16</f>
        <v>811</v>
      </c>
      <c r="D4" s="91">
        <v>1125</v>
      </c>
      <c r="E4" s="90">
        <f t="shared" ref="E4:E29" si="0">ROUND(C4*100/D4,1)</f>
        <v>72.099999999999994</v>
      </c>
      <c r="F4" s="91">
        <f t="shared" ref="F4:F29" si="1">C4*0.4</f>
        <v>324.40000000000003</v>
      </c>
      <c r="G4" s="91">
        <v>270</v>
      </c>
      <c r="H4" s="117">
        <f t="shared" ref="H4:H29" si="2">ROUND((F4-G4)/30,0)</f>
        <v>2</v>
      </c>
      <c r="I4" s="126" t="s">
        <v>159</v>
      </c>
      <c r="J4" s="80">
        <v>7</v>
      </c>
      <c r="K4" s="141">
        <f t="shared" ref="K4:K29" si="3">VALUE(LEFT(I4,1))/J4*100</f>
        <v>71.428571428571431</v>
      </c>
    </row>
    <row r="5" spans="1:11" s="52" customFormat="1" ht="22.5" customHeight="1" x14ac:dyDescent="0.25">
      <c r="A5" s="91">
        <v>3</v>
      </c>
      <c r="B5" s="125" t="s">
        <v>114</v>
      </c>
      <c r="C5" s="91">
        <v>735</v>
      </c>
      <c r="D5" s="91">
        <v>1095</v>
      </c>
      <c r="E5" s="90">
        <f t="shared" si="0"/>
        <v>67.099999999999994</v>
      </c>
      <c r="F5" s="91">
        <f t="shared" si="1"/>
        <v>294</v>
      </c>
      <c r="G5" s="91">
        <v>270</v>
      </c>
      <c r="H5" s="117">
        <f t="shared" si="2"/>
        <v>1</v>
      </c>
      <c r="I5" s="126" t="s">
        <v>152</v>
      </c>
      <c r="J5" s="80">
        <v>6</v>
      </c>
      <c r="K5" s="141">
        <f t="shared" si="3"/>
        <v>66.666666666666657</v>
      </c>
    </row>
    <row r="6" spans="1:11" s="52" customFormat="1" ht="22.5" customHeight="1" x14ac:dyDescent="0.25">
      <c r="A6" s="91">
        <v>4</v>
      </c>
      <c r="B6" s="125" t="s">
        <v>115</v>
      </c>
      <c r="C6" s="91"/>
      <c r="D6" s="91"/>
      <c r="E6" s="90"/>
      <c r="F6" s="91"/>
      <c r="G6" s="91"/>
      <c r="H6" s="117"/>
      <c r="I6" s="126"/>
      <c r="J6" s="80"/>
      <c r="K6" s="141"/>
    </row>
    <row r="7" spans="1:11" s="52" customFormat="1" ht="22.5" customHeight="1" x14ac:dyDescent="0.25">
      <c r="A7" s="91">
        <v>5</v>
      </c>
      <c r="B7" s="125" t="s">
        <v>116</v>
      </c>
      <c r="C7" s="91">
        <v>811</v>
      </c>
      <c r="D7" s="91">
        <v>1125</v>
      </c>
      <c r="E7" s="90">
        <f t="shared" si="0"/>
        <v>72.099999999999994</v>
      </c>
      <c r="F7" s="91">
        <f t="shared" si="1"/>
        <v>324.40000000000003</v>
      </c>
      <c r="G7" s="91">
        <v>270</v>
      </c>
      <c r="H7" s="117">
        <f t="shared" si="2"/>
        <v>2</v>
      </c>
      <c r="I7" s="126" t="s">
        <v>159</v>
      </c>
      <c r="J7" s="80">
        <v>7</v>
      </c>
      <c r="K7" s="141">
        <f t="shared" si="3"/>
        <v>71.428571428571431</v>
      </c>
    </row>
    <row r="8" spans="1:11" s="52" customFormat="1" ht="22.5" customHeight="1" x14ac:dyDescent="0.25">
      <c r="A8" s="91">
        <v>6</v>
      </c>
      <c r="B8" s="125" t="s">
        <v>117</v>
      </c>
      <c r="C8" s="90"/>
      <c r="D8" s="90"/>
      <c r="E8" s="90"/>
      <c r="F8" s="91"/>
      <c r="G8" s="91"/>
      <c r="H8" s="117"/>
      <c r="I8" s="127"/>
      <c r="J8" s="80"/>
      <c r="K8" s="141"/>
    </row>
    <row r="9" spans="1:11" s="52" customFormat="1" ht="22.5" customHeight="1" x14ac:dyDescent="0.25">
      <c r="A9" s="91">
        <v>7</v>
      </c>
      <c r="B9" s="125" t="s">
        <v>118</v>
      </c>
      <c r="C9" s="91">
        <f>675+22</f>
        <v>697</v>
      </c>
      <c r="D9" s="91">
        <v>1065</v>
      </c>
      <c r="E9" s="90">
        <f t="shared" si="0"/>
        <v>65.400000000000006</v>
      </c>
      <c r="F9" s="91">
        <f t="shared" si="1"/>
        <v>278.8</v>
      </c>
      <c r="G9" s="91">
        <v>270</v>
      </c>
      <c r="H9" s="117">
        <f t="shared" si="2"/>
        <v>0</v>
      </c>
      <c r="I9" s="126" t="s">
        <v>61</v>
      </c>
      <c r="J9" s="80">
        <v>5</v>
      </c>
      <c r="K9" s="141">
        <f t="shared" si="3"/>
        <v>60</v>
      </c>
    </row>
    <row r="10" spans="1:11" s="52" customFormat="1" ht="22.5" customHeight="1" x14ac:dyDescent="0.25">
      <c r="A10" s="91">
        <v>8</v>
      </c>
      <c r="B10" s="125" t="s">
        <v>119</v>
      </c>
      <c r="C10" s="91">
        <f>765+20</f>
        <v>785</v>
      </c>
      <c r="D10" s="91">
        <v>1110</v>
      </c>
      <c r="E10" s="90">
        <f t="shared" si="0"/>
        <v>70.7</v>
      </c>
      <c r="F10" s="91">
        <f t="shared" si="1"/>
        <v>314</v>
      </c>
      <c r="G10" s="91">
        <v>270</v>
      </c>
      <c r="H10" s="117">
        <f t="shared" si="2"/>
        <v>1</v>
      </c>
      <c r="I10" s="126" t="s">
        <v>152</v>
      </c>
      <c r="J10" s="80">
        <v>6</v>
      </c>
      <c r="K10" s="141">
        <f t="shared" si="3"/>
        <v>66.666666666666657</v>
      </c>
    </row>
    <row r="11" spans="1:11" s="52" customFormat="1" ht="22.5" customHeight="1" x14ac:dyDescent="0.25">
      <c r="A11" s="91">
        <v>9</v>
      </c>
      <c r="B11" s="125" t="s">
        <v>146</v>
      </c>
      <c r="C11" s="91">
        <f>705+16</f>
        <v>721</v>
      </c>
      <c r="D11" s="91">
        <v>1080</v>
      </c>
      <c r="E11" s="90">
        <f t="shared" si="0"/>
        <v>66.8</v>
      </c>
      <c r="F11" s="91">
        <f t="shared" si="1"/>
        <v>288.40000000000003</v>
      </c>
      <c r="G11" s="91">
        <v>270</v>
      </c>
      <c r="H11" s="117">
        <f t="shared" si="2"/>
        <v>1</v>
      </c>
      <c r="I11" s="126" t="s">
        <v>152</v>
      </c>
      <c r="J11" s="80">
        <v>7</v>
      </c>
      <c r="K11" s="141">
        <f t="shared" si="3"/>
        <v>57.142857142857139</v>
      </c>
    </row>
    <row r="12" spans="1:11" s="52" customFormat="1" ht="22.5" customHeight="1" x14ac:dyDescent="0.25">
      <c r="A12" s="91">
        <v>10</v>
      </c>
      <c r="B12" s="125" t="s">
        <v>120</v>
      </c>
      <c r="C12" s="91">
        <f>765+16</f>
        <v>781</v>
      </c>
      <c r="D12" s="91">
        <v>1110</v>
      </c>
      <c r="E12" s="90">
        <f t="shared" si="0"/>
        <v>70.400000000000006</v>
      </c>
      <c r="F12" s="91">
        <f t="shared" si="1"/>
        <v>312.40000000000003</v>
      </c>
      <c r="G12" s="91">
        <v>270</v>
      </c>
      <c r="H12" s="117">
        <f t="shared" si="2"/>
        <v>1</v>
      </c>
      <c r="I12" s="126" t="s">
        <v>62</v>
      </c>
      <c r="J12" s="80">
        <v>7</v>
      </c>
      <c r="K12" s="141">
        <f t="shared" si="3"/>
        <v>57.142857142857139</v>
      </c>
    </row>
    <row r="13" spans="1:11" s="52" customFormat="1" ht="22.5" customHeight="1" x14ac:dyDescent="0.25">
      <c r="A13" s="91">
        <v>11</v>
      </c>
      <c r="B13" s="125" t="s">
        <v>121</v>
      </c>
      <c r="C13" s="91"/>
      <c r="D13" s="91"/>
      <c r="E13" s="90"/>
      <c r="F13" s="91"/>
      <c r="G13" s="91"/>
      <c r="H13" s="117"/>
      <c r="I13" s="127"/>
      <c r="J13" s="80"/>
      <c r="K13" s="141"/>
    </row>
    <row r="14" spans="1:11" s="52" customFormat="1" ht="22.5" customHeight="1" x14ac:dyDescent="0.25">
      <c r="A14" s="91">
        <v>12</v>
      </c>
      <c r="B14" s="125" t="s">
        <v>122</v>
      </c>
      <c r="C14" s="90"/>
      <c r="D14" s="90"/>
      <c r="E14" s="90"/>
      <c r="F14" s="91"/>
      <c r="G14" s="91"/>
      <c r="H14" s="117"/>
      <c r="I14" s="127"/>
      <c r="J14" s="80"/>
      <c r="K14" s="141"/>
    </row>
    <row r="15" spans="1:11" s="52" customFormat="1" ht="22.5" customHeight="1" x14ac:dyDescent="0.25">
      <c r="A15" s="91">
        <v>13</v>
      </c>
      <c r="B15" s="125" t="s">
        <v>123</v>
      </c>
      <c r="C15" s="91"/>
      <c r="D15" s="91"/>
      <c r="E15" s="90"/>
      <c r="F15" s="91"/>
      <c r="G15" s="91"/>
      <c r="H15" s="117"/>
      <c r="I15" s="127"/>
      <c r="J15" s="80"/>
      <c r="K15" s="141"/>
    </row>
    <row r="16" spans="1:11" s="52" customFormat="1" ht="22.5" customHeight="1" x14ac:dyDescent="0.25">
      <c r="A16" s="91">
        <v>14</v>
      </c>
      <c r="B16" s="125" t="s">
        <v>124</v>
      </c>
      <c r="C16" s="91">
        <f>675+16</f>
        <v>691</v>
      </c>
      <c r="D16" s="91">
        <v>1065</v>
      </c>
      <c r="E16" s="90">
        <f t="shared" si="0"/>
        <v>64.900000000000006</v>
      </c>
      <c r="F16" s="91">
        <f t="shared" si="1"/>
        <v>276.40000000000003</v>
      </c>
      <c r="G16" s="91">
        <v>270</v>
      </c>
      <c r="H16" s="117">
        <f t="shared" si="2"/>
        <v>0</v>
      </c>
      <c r="I16" s="126" t="s">
        <v>62</v>
      </c>
      <c r="J16" s="80">
        <v>7</v>
      </c>
      <c r="K16" s="141">
        <f t="shared" si="3"/>
        <v>57.142857142857139</v>
      </c>
    </row>
    <row r="17" spans="1:11" s="52" customFormat="1" ht="22.5" customHeight="1" x14ac:dyDescent="0.25">
      <c r="A17" s="91">
        <v>15</v>
      </c>
      <c r="B17" s="125" t="s">
        <v>125</v>
      </c>
      <c r="C17" s="91"/>
      <c r="D17" s="91"/>
      <c r="E17" s="90"/>
      <c r="F17" s="91"/>
      <c r="G17" s="91"/>
      <c r="H17" s="117"/>
      <c r="I17" s="127"/>
      <c r="J17" s="80"/>
      <c r="K17" s="141"/>
    </row>
    <row r="18" spans="1:11" s="52" customFormat="1" ht="22.5" customHeight="1" x14ac:dyDescent="0.25">
      <c r="A18" s="91">
        <v>16</v>
      </c>
      <c r="B18" s="125" t="s">
        <v>126</v>
      </c>
      <c r="C18" s="91">
        <f>825+30</f>
        <v>855</v>
      </c>
      <c r="D18" s="91">
        <v>1140</v>
      </c>
      <c r="E18" s="90">
        <f t="shared" si="0"/>
        <v>75</v>
      </c>
      <c r="F18" s="91">
        <f t="shared" si="1"/>
        <v>342</v>
      </c>
      <c r="G18" s="91">
        <v>270</v>
      </c>
      <c r="H18" s="117">
        <f t="shared" si="2"/>
        <v>2</v>
      </c>
      <c r="I18" s="128" t="s">
        <v>163</v>
      </c>
      <c r="J18" s="80">
        <v>14</v>
      </c>
      <c r="K18" s="141">
        <f>VALUE(LEFT(I18,2))/J18*100</f>
        <v>71.428571428571431</v>
      </c>
    </row>
    <row r="19" spans="1:11" s="52" customFormat="1" ht="22.5" customHeight="1" x14ac:dyDescent="0.25">
      <c r="A19" s="91">
        <v>17</v>
      </c>
      <c r="B19" s="125" t="s">
        <v>160</v>
      </c>
      <c r="C19" s="90">
        <f>825+30</f>
        <v>855</v>
      </c>
      <c r="D19" s="90">
        <v>1140</v>
      </c>
      <c r="E19" s="90">
        <f t="shared" si="0"/>
        <v>75</v>
      </c>
      <c r="F19" s="91">
        <f t="shared" si="1"/>
        <v>342</v>
      </c>
      <c r="G19" s="91">
        <v>270</v>
      </c>
      <c r="H19" s="117">
        <f t="shared" si="2"/>
        <v>2</v>
      </c>
      <c r="I19" s="128" t="s">
        <v>161</v>
      </c>
      <c r="J19" s="80">
        <v>14</v>
      </c>
      <c r="K19" s="141">
        <f t="shared" si="3"/>
        <v>64.285714285714292</v>
      </c>
    </row>
    <row r="20" spans="1:11" s="52" customFormat="1" ht="22.5" customHeight="1" x14ac:dyDescent="0.25">
      <c r="A20" s="91">
        <v>18</v>
      </c>
      <c r="B20" s="125" t="s">
        <v>128</v>
      </c>
      <c r="C20" s="91">
        <f>825+30</f>
        <v>855</v>
      </c>
      <c r="D20" s="91">
        <v>1140</v>
      </c>
      <c r="E20" s="90">
        <f t="shared" si="0"/>
        <v>75</v>
      </c>
      <c r="F20" s="91">
        <f t="shared" si="1"/>
        <v>342</v>
      </c>
      <c r="G20" s="91">
        <v>270</v>
      </c>
      <c r="H20" s="117">
        <f t="shared" si="2"/>
        <v>2</v>
      </c>
      <c r="I20" s="128" t="s">
        <v>148</v>
      </c>
      <c r="J20" s="80">
        <v>14</v>
      </c>
      <c r="K20" s="141">
        <f t="shared" si="3"/>
        <v>42.857142857142854</v>
      </c>
    </row>
    <row r="21" spans="1:11" s="52" customFormat="1" ht="22.5" customHeight="1" x14ac:dyDescent="0.25">
      <c r="A21" s="91">
        <v>19</v>
      </c>
      <c r="B21" s="125" t="s">
        <v>129</v>
      </c>
      <c r="C21" s="91">
        <f>825+30</f>
        <v>855</v>
      </c>
      <c r="D21" s="91">
        <v>1140</v>
      </c>
      <c r="E21" s="90">
        <f t="shared" si="0"/>
        <v>75</v>
      </c>
      <c r="F21" s="91">
        <f t="shared" si="1"/>
        <v>342</v>
      </c>
      <c r="G21" s="91">
        <v>270</v>
      </c>
      <c r="H21" s="117">
        <f t="shared" si="2"/>
        <v>2</v>
      </c>
      <c r="I21" s="128" t="s">
        <v>162</v>
      </c>
      <c r="J21" s="80">
        <v>13</v>
      </c>
      <c r="K21" s="141">
        <f t="shared" si="3"/>
        <v>69.230769230769226</v>
      </c>
    </row>
    <row r="22" spans="1:11" s="52" customFormat="1" ht="22.5" customHeight="1" x14ac:dyDescent="0.25">
      <c r="A22" s="91">
        <v>20</v>
      </c>
      <c r="B22" s="125" t="s">
        <v>130</v>
      </c>
      <c r="C22" s="91">
        <v>817</v>
      </c>
      <c r="D22" s="91">
        <v>1125</v>
      </c>
      <c r="E22" s="90">
        <f t="shared" si="0"/>
        <v>72.599999999999994</v>
      </c>
      <c r="F22" s="91">
        <f t="shared" si="1"/>
        <v>326.8</v>
      </c>
      <c r="G22" s="91">
        <v>270</v>
      </c>
      <c r="H22" s="117">
        <f t="shared" si="2"/>
        <v>2</v>
      </c>
      <c r="I22" s="128" t="s">
        <v>164</v>
      </c>
      <c r="J22" s="80">
        <v>10</v>
      </c>
      <c r="K22" s="141">
        <f t="shared" si="3"/>
        <v>60</v>
      </c>
    </row>
    <row r="23" spans="1:11" s="52" customFormat="1" ht="22.5" customHeight="1" x14ac:dyDescent="0.25">
      <c r="A23" s="91">
        <v>21</v>
      </c>
      <c r="B23" s="125" t="s">
        <v>131</v>
      </c>
      <c r="C23" s="91">
        <v>851</v>
      </c>
      <c r="D23" s="91">
        <v>1140</v>
      </c>
      <c r="E23" s="90">
        <f t="shared" si="0"/>
        <v>74.599999999999994</v>
      </c>
      <c r="F23" s="91">
        <f t="shared" si="1"/>
        <v>340.40000000000003</v>
      </c>
      <c r="G23" s="91">
        <v>270</v>
      </c>
      <c r="H23" s="117">
        <f t="shared" si="2"/>
        <v>2</v>
      </c>
      <c r="I23" s="128" t="s">
        <v>165</v>
      </c>
      <c r="J23" s="80">
        <v>11</v>
      </c>
      <c r="K23" s="141">
        <f t="shared" si="3"/>
        <v>45.454545454545453</v>
      </c>
    </row>
    <row r="24" spans="1:11" s="52" customFormat="1" ht="22.5" customHeight="1" x14ac:dyDescent="0.25">
      <c r="A24" s="91">
        <v>22</v>
      </c>
      <c r="B24" s="125" t="s">
        <v>166</v>
      </c>
      <c r="C24" s="91">
        <v>819</v>
      </c>
      <c r="D24" s="91">
        <v>1125</v>
      </c>
      <c r="E24" s="90">
        <f t="shared" si="0"/>
        <v>72.8</v>
      </c>
      <c r="F24" s="91">
        <f t="shared" si="1"/>
        <v>327.60000000000002</v>
      </c>
      <c r="G24" s="91">
        <v>270</v>
      </c>
      <c r="H24" s="117">
        <f t="shared" si="2"/>
        <v>2</v>
      </c>
      <c r="I24" s="128" t="s">
        <v>167</v>
      </c>
      <c r="J24" s="80">
        <v>11</v>
      </c>
      <c r="K24" s="141">
        <f t="shared" si="3"/>
        <v>63.636363636363633</v>
      </c>
    </row>
    <row r="25" spans="1:11" s="52" customFormat="1" ht="22.5" customHeight="1" x14ac:dyDescent="0.25">
      <c r="A25" s="91">
        <v>23</v>
      </c>
      <c r="B25" s="125" t="s">
        <v>133</v>
      </c>
      <c r="C25" s="91">
        <f>630+22</f>
        <v>652</v>
      </c>
      <c r="D25" s="91">
        <v>1050</v>
      </c>
      <c r="E25" s="90">
        <f t="shared" si="0"/>
        <v>62.1</v>
      </c>
      <c r="F25" s="91">
        <f t="shared" si="1"/>
        <v>260.8</v>
      </c>
      <c r="G25" s="91">
        <v>270</v>
      </c>
      <c r="H25" s="117">
        <f t="shared" si="2"/>
        <v>0</v>
      </c>
      <c r="I25" s="126" t="s">
        <v>75</v>
      </c>
      <c r="J25" s="80">
        <v>4</v>
      </c>
      <c r="K25" s="141">
        <f t="shared" si="3"/>
        <v>100</v>
      </c>
    </row>
    <row r="26" spans="1:11" s="52" customFormat="1" ht="22.5" customHeight="1" x14ac:dyDescent="0.25">
      <c r="A26" s="91">
        <v>24</v>
      </c>
      <c r="B26" s="125" t="s">
        <v>134</v>
      </c>
      <c r="C26" s="90">
        <v>740</v>
      </c>
      <c r="D26" s="90">
        <v>1080</v>
      </c>
      <c r="E26" s="90">
        <f t="shared" si="0"/>
        <v>68.5</v>
      </c>
      <c r="F26" s="91">
        <f t="shared" si="1"/>
        <v>296</v>
      </c>
      <c r="G26" s="91">
        <v>270</v>
      </c>
      <c r="H26" s="117">
        <f t="shared" si="2"/>
        <v>1</v>
      </c>
      <c r="I26" s="126" t="s">
        <v>168</v>
      </c>
      <c r="J26" s="80">
        <v>7</v>
      </c>
      <c r="K26" s="141">
        <f t="shared" si="3"/>
        <v>100</v>
      </c>
    </row>
    <row r="27" spans="1:11" s="52" customFormat="1" ht="22.5" customHeight="1" x14ac:dyDescent="0.25">
      <c r="A27" s="91">
        <v>25</v>
      </c>
      <c r="B27" s="125" t="s">
        <v>135</v>
      </c>
      <c r="C27" s="90">
        <f>645+24</f>
        <v>669</v>
      </c>
      <c r="D27" s="90">
        <v>1050</v>
      </c>
      <c r="E27" s="90">
        <f t="shared" si="0"/>
        <v>63.7</v>
      </c>
      <c r="F27" s="91">
        <f t="shared" si="1"/>
        <v>267.60000000000002</v>
      </c>
      <c r="G27" s="91">
        <v>270</v>
      </c>
      <c r="H27" s="117">
        <f t="shared" si="2"/>
        <v>0</v>
      </c>
      <c r="I27" s="126" t="s">
        <v>157</v>
      </c>
      <c r="J27" s="80">
        <v>8</v>
      </c>
      <c r="K27" s="141">
        <f t="shared" si="3"/>
        <v>62.5</v>
      </c>
    </row>
    <row r="28" spans="1:11" s="52" customFormat="1" ht="22.5" customHeight="1" x14ac:dyDescent="0.25">
      <c r="A28" s="91">
        <v>26</v>
      </c>
      <c r="B28" s="125" t="s">
        <v>136</v>
      </c>
      <c r="C28" s="91">
        <f>615+22</f>
        <v>637</v>
      </c>
      <c r="D28" s="91">
        <v>1035</v>
      </c>
      <c r="E28" s="90">
        <f t="shared" si="0"/>
        <v>61.5</v>
      </c>
      <c r="F28" s="91">
        <f t="shared" si="1"/>
        <v>254.8</v>
      </c>
      <c r="G28" s="91">
        <v>270</v>
      </c>
      <c r="H28" s="117">
        <f t="shared" si="2"/>
        <v>-1</v>
      </c>
      <c r="I28" s="126" t="s">
        <v>62</v>
      </c>
      <c r="J28" s="80">
        <v>5</v>
      </c>
      <c r="K28" s="141">
        <f t="shared" si="3"/>
        <v>80</v>
      </c>
    </row>
    <row r="29" spans="1:11" s="52" customFormat="1" ht="22.5" customHeight="1" x14ac:dyDescent="0.25">
      <c r="A29" s="91">
        <v>27</v>
      </c>
      <c r="B29" s="125" t="s">
        <v>137</v>
      </c>
      <c r="C29" s="91">
        <f>825+20</f>
        <v>845</v>
      </c>
      <c r="D29" s="91">
        <v>1140</v>
      </c>
      <c r="E29" s="90">
        <f t="shared" si="0"/>
        <v>74.099999999999994</v>
      </c>
      <c r="F29" s="91">
        <f t="shared" si="1"/>
        <v>338</v>
      </c>
      <c r="G29" s="91">
        <v>270</v>
      </c>
      <c r="H29" s="117">
        <f t="shared" si="2"/>
        <v>2</v>
      </c>
      <c r="I29" s="126" t="s">
        <v>156</v>
      </c>
      <c r="J29" s="80">
        <v>7</v>
      </c>
      <c r="K29" s="141">
        <f t="shared" si="3"/>
        <v>57.142857142857139</v>
      </c>
    </row>
    <row r="30" spans="1:11" s="52" customFormat="1" ht="22.5" customHeight="1" x14ac:dyDescent="0.25">
      <c r="A30" s="131" t="s">
        <v>92</v>
      </c>
      <c r="B30" s="131"/>
      <c r="C30" s="102" t="s">
        <v>177</v>
      </c>
      <c r="D30" s="148"/>
      <c r="E30" s="79"/>
      <c r="F30" s="94"/>
      <c r="G30" s="94"/>
      <c r="H30" s="96">
        <f>COUNT(H3:H29)</f>
        <v>21</v>
      </c>
      <c r="I30" s="87"/>
      <c r="J30" s="80"/>
      <c r="K30" s="80">
        <f>COUNTIF(K3:K29,"&gt;=30")</f>
        <v>21</v>
      </c>
    </row>
    <row r="31" spans="1:11" s="5" customFormat="1" ht="18.75" hidden="1" customHeight="1" x14ac:dyDescent="0.25">
      <c r="B31" s="19"/>
      <c r="C31" s="145"/>
      <c r="D31" s="145"/>
      <c r="E31" s="145"/>
      <c r="F31" s="145"/>
      <c r="G31" s="145"/>
      <c r="H31" s="146"/>
      <c r="I31" s="147"/>
      <c r="J31" s="9"/>
      <c r="K31" s="9"/>
    </row>
    <row r="32" spans="1:11" s="5" customFormat="1" ht="18.75" hidden="1" customHeight="1" x14ac:dyDescent="0.25">
      <c r="B32" s="19"/>
      <c r="C32" s="67"/>
      <c r="D32" s="67"/>
      <c r="E32" s="67"/>
      <c r="F32" s="65"/>
      <c r="G32" s="65"/>
      <c r="H32" s="66"/>
      <c r="I32" s="10"/>
      <c r="J32" s="9"/>
      <c r="K32" s="9"/>
    </row>
    <row r="33" spans="2:11" s="5" customFormat="1" ht="18.75" hidden="1" customHeight="1" x14ac:dyDescent="0.25">
      <c r="B33" s="28" t="s">
        <v>104</v>
      </c>
      <c r="C33" s="65"/>
      <c r="D33" s="65"/>
      <c r="E33" s="65"/>
      <c r="F33" s="65"/>
      <c r="G33" s="65"/>
      <c r="H33" s="66"/>
      <c r="I33" s="10"/>
      <c r="J33" s="9"/>
      <c r="K33" s="9"/>
    </row>
    <row r="34" spans="2:11" s="5" customFormat="1" ht="18.75" hidden="1" customHeight="1" x14ac:dyDescent="0.25">
      <c r="B34" s="53" t="s">
        <v>102</v>
      </c>
      <c r="C34" s="67"/>
      <c r="D34" s="67"/>
      <c r="E34" s="67"/>
      <c r="F34" s="65"/>
      <c r="G34" s="65"/>
      <c r="H34" s="66"/>
      <c r="I34" s="10"/>
      <c r="J34" s="9"/>
      <c r="K34" s="9"/>
    </row>
    <row r="35" spans="2:11" s="5" customFormat="1" ht="18.75" hidden="1" customHeight="1" x14ac:dyDescent="0.25">
      <c r="B35" s="53" t="s">
        <v>103</v>
      </c>
      <c r="C35" s="74" t="s">
        <v>93</v>
      </c>
      <c r="D35" s="76"/>
      <c r="E35" s="75" t="s">
        <v>100</v>
      </c>
      <c r="F35" s="77"/>
      <c r="G35" s="77"/>
      <c r="H35" s="77"/>
      <c r="I35" s="11"/>
      <c r="J35" s="9"/>
      <c r="K35" s="9"/>
    </row>
    <row r="36" spans="2:11" s="5" customFormat="1" ht="11.25" hidden="1" customHeight="1" x14ac:dyDescent="0.25">
      <c r="B36" s="25"/>
      <c r="C36" s="68"/>
      <c r="D36" s="68"/>
      <c r="E36" s="68"/>
      <c r="F36" s="68"/>
      <c r="G36" s="68"/>
      <c r="H36" s="68"/>
      <c r="I36" s="9"/>
      <c r="J36" s="9"/>
      <c r="K36" s="9"/>
    </row>
    <row r="37" spans="2:11" s="5" customFormat="1" ht="18.75" hidden="1" customHeight="1" x14ac:dyDescent="0.25">
      <c r="B37" s="28" t="s">
        <v>110</v>
      </c>
      <c r="C37" s="68"/>
      <c r="D37" s="68"/>
      <c r="E37" s="68"/>
      <c r="F37" s="68"/>
      <c r="G37" s="68"/>
      <c r="H37" s="68"/>
      <c r="I37" s="9"/>
      <c r="J37" s="9"/>
      <c r="K37" s="9"/>
    </row>
    <row r="38" spans="2:11" s="5" customFormat="1" ht="20.25" hidden="1" customHeight="1" x14ac:dyDescent="0.25">
      <c r="B38" s="20" t="s">
        <v>111</v>
      </c>
      <c r="C38" s="69"/>
      <c r="D38" s="69"/>
      <c r="E38" s="69"/>
      <c r="F38" s="69"/>
      <c r="G38" s="70">
        <v>1</v>
      </c>
      <c r="H38" s="69"/>
      <c r="I38" s="86" t="s">
        <v>108</v>
      </c>
      <c r="J38" s="9"/>
      <c r="K38" s="9"/>
    </row>
    <row r="39" spans="2:11" ht="20.25" hidden="1" customHeight="1" x14ac:dyDescent="0.25">
      <c r="G39" s="72">
        <v>1</v>
      </c>
      <c r="I39" s="86" t="s">
        <v>109</v>
      </c>
    </row>
    <row r="40" spans="2:11" ht="18.75" hidden="1" customHeight="1" x14ac:dyDescent="0.25"/>
    <row r="41" spans="2:11" ht="12" customHeight="1" x14ac:dyDescent="0.25"/>
    <row r="42" spans="2:11" ht="18.75" customHeight="1" x14ac:dyDescent="0.3">
      <c r="B42" s="144" t="s">
        <v>178</v>
      </c>
    </row>
    <row r="43" spans="2:11" ht="18.75" customHeight="1" x14ac:dyDescent="0.25"/>
    <row r="44" spans="2:11" ht="18.75" customHeight="1" x14ac:dyDescent="0.25"/>
    <row r="45" spans="2:11" ht="18.75" customHeight="1" x14ac:dyDescent="0.25"/>
    <row r="46" spans="2:11" ht="18.75" customHeight="1" x14ac:dyDescent="0.25"/>
    <row r="47" spans="2:11" ht="18.75" customHeight="1" x14ac:dyDescent="0.25"/>
    <row r="48" spans="2:11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</sheetData>
  <mergeCells count="2">
    <mergeCell ref="A30:B30"/>
    <mergeCell ref="A1:K1"/>
  </mergeCells>
  <printOptions horizontalCentered="1"/>
  <pageMargins left="0.11811023622047245" right="0.11811023622047245" top="0.11811023622047245" bottom="0.11811023622047245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1"/>
  <sheetViews>
    <sheetView topLeftCell="A19" zoomScale="115" zoomScaleNormal="115" workbookViewId="0">
      <selection activeCell="Z28" sqref="Z28"/>
    </sheetView>
  </sheetViews>
  <sheetFormatPr defaultRowHeight="15" x14ac:dyDescent="0.25"/>
  <cols>
    <col min="1" max="1" width="18.5703125" customWidth="1"/>
    <col min="2" max="6" width="9.28515625" hidden="1" customWidth="1"/>
    <col min="7" max="7" width="9.28515625" style="1" hidden="1" customWidth="1"/>
    <col min="8" max="8" width="4.5703125" style="1" hidden="1" customWidth="1"/>
    <col min="9" max="14" width="10.42578125" hidden="1" customWidth="1"/>
    <col min="15" max="15" width="3" hidden="1" customWidth="1"/>
    <col min="16" max="16" width="4.85546875" hidden="1" customWidth="1"/>
    <col min="17" max="17" width="11.7109375" customWidth="1"/>
    <col min="18" max="18" width="10.140625" customWidth="1"/>
    <col min="19" max="19" width="10.85546875" customWidth="1"/>
    <col min="20" max="20" width="11.7109375" customWidth="1"/>
    <col min="21" max="21" width="11.7109375" style="1" customWidth="1"/>
    <col min="22" max="22" width="10.5703125" customWidth="1"/>
    <col min="23" max="23" width="2.7109375" customWidth="1"/>
    <col min="24" max="24" width="11.28515625" customWidth="1"/>
    <col min="25" max="26" width="10.85546875" customWidth="1"/>
    <col min="27" max="27" width="9.85546875" customWidth="1"/>
    <col min="28" max="28" width="11.28515625" style="1" customWidth="1"/>
    <col min="29" max="29" width="10.28515625" customWidth="1"/>
  </cols>
  <sheetData>
    <row r="1" spans="1:29" s="2" customFormat="1" ht="26.25" customHeight="1" x14ac:dyDescent="0.25">
      <c r="A1" s="139" t="s">
        <v>50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40"/>
      <c r="Q1" s="133" t="s">
        <v>51</v>
      </c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</row>
    <row r="2" spans="1:29" s="5" customFormat="1" ht="16.5" x14ac:dyDescent="0.25">
      <c r="A2" s="16" t="s">
        <v>3</v>
      </c>
      <c r="B2" s="16"/>
      <c r="C2" s="16"/>
      <c r="D2" s="19"/>
      <c r="E2" s="21"/>
      <c r="F2" s="21"/>
      <c r="G2" s="22"/>
      <c r="H2" s="23"/>
      <c r="I2" s="16" t="s">
        <v>2</v>
      </c>
      <c r="J2" s="16"/>
      <c r="K2" s="16"/>
      <c r="L2" s="21"/>
      <c r="M2" s="21"/>
      <c r="N2" s="23"/>
      <c r="O2" s="24"/>
      <c r="P2" s="19"/>
      <c r="Q2" s="16" t="s">
        <v>3</v>
      </c>
      <c r="R2" s="16"/>
      <c r="S2" s="16"/>
      <c r="T2" s="6"/>
      <c r="U2" s="8"/>
      <c r="V2" s="17"/>
      <c r="X2" s="138" t="s">
        <v>41</v>
      </c>
      <c r="Y2" s="138"/>
      <c r="Z2" s="138"/>
      <c r="AA2" s="6"/>
      <c r="AB2" s="8"/>
      <c r="AC2" s="7"/>
    </row>
    <row r="3" spans="1:29" s="5" customFormat="1" ht="52.5" customHeight="1" x14ac:dyDescent="0.25">
      <c r="A3" s="12" t="s">
        <v>52</v>
      </c>
      <c r="B3" s="12" t="s">
        <v>58</v>
      </c>
      <c r="C3" s="12" t="s">
        <v>53</v>
      </c>
      <c r="D3" s="12" t="s">
        <v>54</v>
      </c>
      <c r="E3" s="13" t="s">
        <v>55</v>
      </c>
      <c r="F3" s="13" t="s">
        <v>56</v>
      </c>
      <c r="G3" s="14" t="s">
        <v>57</v>
      </c>
      <c r="H3" s="23"/>
      <c r="I3" s="12" t="s">
        <v>58</v>
      </c>
      <c r="J3" s="12" t="s">
        <v>53</v>
      </c>
      <c r="K3" s="12" t="s">
        <v>54</v>
      </c>
      <c r="L3" s="13" t="s">
        <v>55</v>
      </c>
      <c r="M3" s="13" t="s">
        <v>56</v>
      </c>
      <c r="N3" s="18" t="s">
        <v>57</v>
      </c>
      <c r="O3" s="24"/>
      <c r="P3" s="19"/>
      <c r="Q3" s="12" t="s">
        <v>58</v>
      </c>
      <c r="R3" s="12" t="s">
        <v>53</v>
      </c>
      <c r="S3" s="12" t="s">
        <v>54</v>
      </c>
      <c r="T3" s="13" t="s">
        <v>55</v>
      </c>
      <c r="U3" s="13" t="s">
        <v>56</v>
      </c>
      <c r="V3" s="14" t="s">
        <v>57</v>
      </c>
      <c r="X3" s="12" t="s">
        <v>58</v>
      </c>
      <c r="Y3" s="12" t="s">
        <v>53</v>
      </c>
      <c r="Z3" s="12" t="s">
        <v>54</v>
      </c>
      <c r="AA3" s="13" t="s">
        <v>55</v>
      </c>
      <c r="AB3" s="13" t="s">
        <v>56</v>
      </c>
      <c r="AC3" s="18" t="s">
        <v>57</v>
      </c>
    </row>
    <row r="4" spans="1:29" s="37" customFormat="1" ht="20.25" customHeight="1" x14ac:dyDescent="0.25">
      <c r="A4" s="29" t="s">
        <v>1</v>
      </c>
      <c r="B4" s="30">
        <f>1170+44</f>
        <v>1214</v>
      </c>
      <c r="C4" s="30">
        <v>1995</v>
      </c>
      <c r="D4" s="30">
        <f t="shared" ref="D4:D31" si="0">ROUND(B4*100/C4,1)</f>
        <v>60.9</v>
      </c>
      <c r="E4" s="30">
        <f t="shared" ref="E4:E32" si="1">B4*0.4</f>
        <v>485.6</v>
      </c>
      <c r="F4" s="30">
        <v>270</v>
      </c>
      <c r="G4" s="31">
        <f t="shared" ref="G4:G31" si="2">ROUND((E4-F4)/30,0)</f>
        <v>7</v>
      </c>
      <c r="H4" s="32"/>
      <c r="I4" s="33">
        <v>1052</v>
      </c>
      <c r="J4" s="33">
        <v>1545</v>
      </c>
      <c r="K4" s="33">
        <f t="shared" ref="K4:K31" si="3">ROUND(I4*100/J4,1)</f>
        <v>68.099999999999994</v>
      </c>
      <c r="L4" s="30">
        <f t="shared" ref="L4:L9" si="4">I4*0.4</f>
        <v>420.8</v>
      </c>
      <c r="M4" s="30">
        <v>270</v>
      </c>
      <c r="N4" s="34">
        <f t="shared" ref="N4:N32" si="5">ROUND((L4-M4)/30,0)</f>
        <v>5</v>
      </c>
      <c r="O4" s="35"/>
      <c r="P4" s="36"/>
      <c r="Q4" s="30"/>
      <c r="R4" s="30"/>
      <c r="S4" s="30" t="e">
        <f>ROUND(Q5*100/R4,1)</f>
        <v>#DIV/0!</v>
      </c>
      <c r="T4" s="30">
        <f>Q4*0.4</f>
        <v>0</v>
      </c>
      <c r="U4" s="30">
        <v>270</v>
      </c>
      <c r="V4" s="31">
        <f t="shared" ref="V4:V36" si="6">ROUND((T4-U4)/30,0)</f>
        <v>-9</v>
      </c>
      <c r="X4" s="30"/>
      <c r="Y4" s="30"/>
      <c r="Z4" s="30" t="e">
        <f t="shared" ref="Z4:Z31" si="7">ROUND(X4*100/Y4,1)</f>
        <v>#DIV/0!</v>
      </c>
      <c r="AA4" s="30">
        <f t="shared" ref="AA4:AA36" si="8">X4*0.4</f>
        <v>0</v>
      </c>
      <c r="AB4" s="30">
        <v>270</v>
      </c>
      <c r="AC4" s="34">
        <f t="shared" ref="AC4:AC36" si="9">ROUND((AA4-AB4)/30,0)</f>
        <v>-9</v>
      </c>
    </row>
    <row r="5" spans="1:29" s="37" customFormat="1" ht="20.25" customHeight="1" x14ac:dyDescent="0.25">
      <c r="A5" s="29" t="s">
        <v>4</v>
      </c>
      <c r="B5" s="30">
        <f>1170+44</f>
        <v>1214</v>
      </c>
      <c r="C5" s="30">
        <v>1995</v>
      </c>
      <c r="D5" s="30">
        <f t="shared" si="0"/>
        <v>60.9</v>
      </c>
      <c r="E5" s="30">
        <f t="shared" si="1"/>
        <v>485.6</v>
      </c>
      <c r="F5" s="30">
        <v>270</v>
      </c>
      <c r="G5" s="31">
        <f t="shared" si="2"/>
        <v>7</v>
      </c>
      <c r="H5" s="32"/>
      <c r="I5" s="33">
        <f>1020+32</f>
        <v>1052</v>
      </c>
      <c r="J5" s="33">
        <v>1545</v>
      </c>
      <c r="K5" s="33">
        <f t="shared" si="3"/>
        <v>68.099999999999994</v>
      </c>
      <c r="L5" s="30">
        <f t="shared" si="4"/>
        <v>420.8</v>
      </c>
      <c r="M5" s="30">
        <v>270</v>
      </c>
      <c r="N5" s="34">
        <f t="shared" si="5"/>
        <v>5</v>
      </c>
      <c r="O5" s="35"/>
      <c r="P5" s="36"/>
      <c r="Q5" s="30">
        <f>165+12+735+18</f>
        <v>930</v>
      </c>
      <c r="R5" s="30">
        <f>390+1095</f>
        <v>1485</v>
      </c>
      <c r="S5" s="30">
        <f>ROUND(Q5*100/R5,1)</f>
        <v>62.6</v>
      </c>
      <c r="T5" s="30">
        <f>Q5*0.4</f>
        <v>372</v>
      </c>
      <c r="U5" s="30">
        <v>270</v>
      </c>
      <c r="V5" s="31">
        <f t="shared" si="6"/>
        <v>3</v>
      </c>
      <c r="X5" s="30">
        <f>735+18</f>
        <v>753</v>
      </c>
      <c r="Y5" s="30">
        <v>1095</v>
      </c>
      <c r="Z5" s="30">
        <f t="shared" si="7"/>
        <v>68.8</v>
      </c>
      <c r="AA5" s="30">
        <f t="shared" si="8"/>
        <v>301.2</v>
      </c>
      <c r="AB5" s="30">
        <v>270</v>
      </c>
      <c r="AC5" s="34">
        <f t="shared" si="9"/>
        <v>1</v>
      </c>
    </row>
    <row r="6" spans="1:29" s="37" customFormat="1" ht="20.25" customHeight="1" x14ac:dyDescent="0.25">
      <c r="A6" s="29" t="s">
        <v>5</v>
      </c>
      <c r="B6" s="30">
        <f>1170+44</f>
        <v>1214</v>
      </c>
      <c r="C6" s="30">
        <v>1995</v>
      </c>
      <c r="D6" s="30">
        <f t="shared" si="0"/>
        <v>60.9</v>
      </c>
      <c r="E6" s="30">
        <f t="shared" si="1"/>
        <v>485.6</v>
      </c>
      <c r="F6" s="30">
        <v>270</v>
      </c>
      <c r="G6" s="31">
        <f t="shared" si="2"/>
        <v>7</v>
      </c>
      <c r="H6" s="32"/>
      <c r="I6" s="33">
        <f>1020+32</f>
        <v>1052</v>
      </c>
      <c r="J6" s="33">
        <v>1545</v>
      </c>
      <c r="K6" s="33">
        <f t="shared" si="3"/>
        <v>68.099999999999994</v>
      </c>
      <c r="L6" s="30">
        <f t="shared" si="4"/>
        <v>420.8</v>
      </c>
      <c r="M6" s="30">
        <v>270</v>
      </c>
      <c r="N6" s="34">
        <f t="shared" si="5"/>
        <v>5</v>
      </c>
      <c r="O6" s="35"/>
      <c r="P6" s="36"/>
      <c r="Q6" s="30"/>
      <c r="R6" s="30"/>
      <c r="S6" s="30" t="e">
        <f t="shared" ref="S6:S31" si="10">ROUND(Q6*100/R6,1)</f>
        <v>#DIV/0!</v>
      </c>
      <c r="T6" s="30">
        <f t="shared" ref="T6:T34" si="11">Q6*0.4</f>
        <v>0</v>
      </c>
      <c r="U6" s="30">
        <v>270</v>
      </c>
      <c r="V6" s="31">
        <f t="shared" si="6"/>
        <v>-9</v>
      </c>
      <c r="X6" s="30"/>
      <c r="Y6" s="30"/>
      <c r="Z6" s="30" t="e">
        <f t="shared" si="7"/>
        <v>#DIV/0!</v>
      </c>
      <c r="AA6" s="30">
        <f t="shared" si="8"/>
        <v>0</v>
      </c>
      <c r="AB6" s="30">
        <v>270</v>
      </c>
      <c r="AC6" s="34">
        <f t="shared" si="9"/>
        <v>-9</v>
      </c>
    </row>
    <row r="7" spans="1:29" s="37" customFormat="1" ht="20.25" customHeight="1" x14ac:dyDescent="0.25">
      <c r="A7" s="29" t="s">
        <v>6</v>
      </c>
      <c r="B7" s="30">
        <f>1170+44</f>
        <v>1214</v>
      </c>
      <c r="C7" s="30">
        <v>1995</v>
      </c>
      <c r="D7" s="30">
        <f t="shared" si="0"/>
        <v>60.9</v>
      </c>
      <c r="E7" s="30">
        <f t="shared" si="1"/>
        <v>485.6</v>
      </c>
      <c r="F7" s="30">
        <v>270</v>
      </c>
      <c r="G7" s="31">
        <f t="shared" si="2"/>
        <v>7</v>
      </c>
      <c r="H7" s="32"/>
      <c r="I7" s="33">
        <f>1020+32</f>
        <v>1052</v>
      </c>
      <c r="J7" s="33">
        <v>1545</v>
      </c>
      <c r="K7" s="33">
        <f t="shared" si="3"/>
        <v>68.099999999999994</v>
      </c>
      <c r="L7" s="30">
        <f t="shared" si="4"/>
        <v>420.8</v>
      </c>
      <c r="M7" s="30">
        <v>270</v>
      </c>
      <c r="N7" s="34">
        <f t="shared" si="5"/>
        <v>5</v>
      </c>
      <c r="O7" s="35"/>
      <c r="P7" s="36"/>
      <c r="Q7" s="30">
        <f>165+12+795+16</f>
        <v>988</v>
      </c>
      <c r="R7" s="30">
        <f>390+1125</f>
        <v>1515</v>
      </c>
      <c r="S7" s="30">
        <f t="shared" si="10"/>
        <v>65.2</v>
      </c>
      <c r="T7" s="30">
        <f t="shared" si="11"/>
        <v>395.20000000000005</v>
      </c>
      <c r="U7" s="30">
        <v>270</v>
      </c>
      <c r="V7" s="31">
        <f t="shared" si="6"/>
        <v>4</v>
      </c>
      <c r="X7" s="30">
        <f>795+16</f>
        <v>811</v>
      </c>
      <c r="Y7" s="30">
        <v>1125</v>
      </c>
      <c r="Z7" s="30">
        <f t="shared" si="7"/>
        <v>72.099999999999994</v>
      </c>
      <c r="AA7" s="30">
        <f t="shared" si="8"/>
        <v>324.40000000000003</v>
      </c>
      <c r="AB7" s="30">
        <v>270</v>
      </c>
      <c r="AC7" s="34">
        <f t="shared" si="9"/>
        <v>2</v>
      </c>
    </row>
    <row r="8" spans="1:29" s="37" customFormat="1" ht="20.25" customHeight="1" x14ac:dyDescent="0.25">
      <c r="A8" s="29" t="s">
        <v>38</v>
      </c>
      <c r="B8" s="30">
        <f>1230+42</f>
        <v>1272</v>
      </c>
      <c r="C8" s="30">
        <v>2025</v>
      </c>
      <c r="D8" s="30">
        <f t="shared" ref="D8" si="12">ROUND(B8*100/C8,1)</f>
        <v>62.8</v>
      </c>
      <c r="E8" s="30">
        <f t="shared" ref="E8" si="13">B8*0.4</f>
        <v>508.8</v>
      </c>
      <c r="F8" s="30">
        <v>271</v>
      </c>
      <c r="G8" s="31">
        <f t="shared" ref="G8" si="14">ROUND((E8-F8)/30,0)</f>
        <v>8</v>
      </c>
      <c r="H8" s="32"/>
      <c r="I8" s="33">
        <f>1080+30</f>
        <v>1110</v>
      </c>
      <c r="J8" s="33">
        <v>1575</v>
      </c>
      <c r="K8" s="33">
        <f t="shared" ref="K8" si="15">ROUND(I8*100/J8,1)</f>
        <v>70.5</v>
      </c>
      <c r="L8" s="30">
        <f t="shared" si="4"/>
        <v>444</v>
      </c>
      <c r="M8" s="30">
        <v>270</v>
      </c>
      <c r="N8" s="34">
        <f t="shared" ref="N8" si="16">ROUND((L8-M8)/30,0)</f>
        <v>6</v>
      </c>
      <c r="O8" s="35"/>
      <c r="P8" s="36"/>
      <c r="Q8" s="30">
        <f>165+12+795+16</f>
        <v>988</v>
      </c>
      <c r="R8" s="30">
        <f>390+1125</f>
        <v>1515</v>
      </c>
      <c r="S8" s="30">
        <f t="shared" si="10"/>
        <v>65.2</v>
      </c>
      <c r="T8" s="30">
        <f t="shared" si="11"/>
        <v>395.20000000000005</v>
      </c>
      <c r="U8" s="30">
        <v>270</v>
      </c>
      <c r="V8" s="31">
        <f t="shared" ref="V8" si="17">ROUND((T8-U8)/30,0)</f>
        <v>4</v>
      </c>
      <c r="X8" s="30">
        <f>795+16</f>
        <v>811</v>
      </c>
      <c r="Y8" s="30">
        <v>1125</v>
      </c>
      <c r="Z8" s="30">
        <f t="shared" ref="Z8" si="18">ROUND(X8*100/Y8,1)</f>
        <v>72.099999999999994</v>
      </c>
      <c r="AA8" s="30">
        <f t="shared" ref="AA8" si="19">X8*0.4</f>
        <v>324.40000000000003</v>
      </c>
      <c r="AB8" s="30">
        <v>270</v>
      </c>
      <c r="AC8" s="34">
        <f t="shared" ref="AC8" si="20">ROUND((AA8-AB8)/30,0)</f>
        <v>2</v>
      </c>
    </row>
    <row r="9" spans="1:29" s="37" customFormat="1" ht="20.25" customHeight="1" x14ac:dyDescent="0.25">
      <c r="A9" s="29" t="s">
        <v>7</v>
      </c>
      <c r="B9" s="30">
        <f>1050+46</f>
        <v>1096</v>
      </c>
      <c r="C9" s="30">
        <v>1935</v>
      </c>
      <c r="D9" s="38">
        <f t="shared" si="0"/>
        <v>56.6</v>
      </c>
      <c r="E9" s="30">
        <f t="shared" si="1"/>
        <v>438.40000000000003</v>
      </c>
      <c r="F9" s="30">
        <v>270</v>
      </c>
      <c r="G9" s="31">
        <f t="shared" si="2"/>
        <v>6</v>
      </c>
      <c r="H9" s="32"/>
      <c r="I9" s="33">
        <f>900+34</f>
        <v>934</v>
      </c>
      <c r="J9" s="33">
        <v>1485</v>
      </c>
      <c r="K9" s="33">
        <f t="shared" si="3"/>
        <v>62.9</v>
      </c>
      <c r="L9" s="30">
        <f t="shared" si="4"/>
        <v>373.6</v>
      </c>
      <c r="M9" s="30">
        <v>270</v>
      </c>
      <c r="N9" s="34">
        <f t="shared" si="5"/>
        <v>3</v>
      </c>
      <c r="O9" s="35"/>
      <c r="P9" s="36"/>
      <c r="Q9" s="30">
        <f>165+12+765+20</f>
        <v>962</v>
      </c>
      <c r="R9" s="30">
        <f>390+1110</f>
        <v>1500</v>
      </c>
      <c r="S9" s="33">
        <f t="shared" si="10"/>
        <v>64.099999999999994</v>
      </c>
      <c r="T9" s="30">
        <f t="shared" si="11"/>
        <v>384.8</v>
      </c>
      <c r="U9" s="30">
        <v>270</v>
      </c>
      <c r="V9" s="31">
        <f t="shared" si="6"/>
        <v>4</v>
      </c>
      <c r="W9" s="39"/>
      <c r="X9" s="33">
        <f>765+20</f>
        <v>785</v>
      </c>
      <c r="Y9" s="33">
        <v>1110</v>
      </c>
      <c r="Z9" s="33">
        <f t="shared" si="7"/>
        <v>70.7</v>
      </c>
      <c r="AA9" s="30">
        <f t="shared" si="8"/>
        <v>314</v>
      </c>
      <c r="AB9" s="30">
        <v>270</v>
      </c>
      <c r="AC9" s="34">
        <f t="shared" si="9"/>
        <v>1</v>
      </c>
    </row>
    <row r="10" spans="1:29" s="37" customFormat="1" ht="20.25" customHeight="1" x14ac:dyDescent="0.25">
      <c r="A10" s="29" t="s">
        <v>42</v>
      </c>
      <c r="B10" s="30"/>
      <c r="C10" s="30"/>
      <c r="D10" s="38"/>
      <c r="E10" s="30"/>
      <c r="F10" s="30"/>
      <c r="G10" s="31"/>
      <c r="H10" s="32"/>
      <c r="I10" s="33"/>
      <c r="J10" s="33"/>
      <c r="K10" s="33"/>
      <c r="L10" s="30"/>
      <c r="M10" s="30"/>
      <c r="N10" s="34"/>
      <c r="O10" s="35"/>
      <c r="P10" s="36"/>
      <c r="Q10" s="30">
        <f>165+12+765+20</f>
        <v>962</v>
      </c>
      <c r="R10" s="30">
        <f>390+1110</f>
        <v>1500</v>
      </c>
      <c r="S10" s="33">
        <f t="shared" si="10"/>
        <v>64.099999999999994</v>
      </c>
      <c r="T10" s="30">
        <f t="shared" ref="T10" si="21">Q10*0.4</f>
        <v>384.8</v>
      </c>
      <c r="U10" s="30">
        <v>270</v>
      </c>
      <c r="V10" s="31">
        <f t="shared" si="6"/>
        <v>4</v>
      </c>
      <c r="W10" s="39"/>
      <c r="X10" s="33">
        <f>765+20</f>
        <v>785</v>
      </c>
      <c r="Y10" s="33">
        <v>1110</v>
      </c>
      <c r="Z10" s="33">
        <f t="shared" si="7"/>
        <v>70.7</v>
      </c>
      <c r="AA10" s="30">
        <f t="shared" ref="AA10" si="22">X10*0.4</f>
        <v>314</v>
      </c>
      <c r="AB10" s="30">
        <v>270</v>
      </c>
      <c r="AC10" s="34">
        <f t="shared" ref="AC10" si="23">ROUND((AA10-AB10)/30,0)</f>
        <v>1</v>
      </c>
    </row>
    <row r="11" spans="1:29" s="37" customFormat="1" ht="20.25" customHeight="1" x14ac:dyDescent="0.25">
      <c r="A11" s="29" t="s">
        <v>8</v>
      </c>
      <c r="B11" s="30">
        <f>1140+44</f>
        <v>1184</v>
      </c>
      <c r="C11" s="30">
        <v>1890</v>
      </c>
      <c r="D11" s="30">
        <f t="shared" si="0"/>
        <v>62.6</v>
      </c>
      <c r="E11" s="30">
        <f t="shared" si="1"/>
        <v>473.6</v>
      </c>
      <c r="F11" s="30">
        <v>270</v>
      </c>
      <c r="G11" s="31">
        <f t="shared" si="2"/>
        <v>7</v>
      </c>
      <c r="H11" s="32"/>
      <c r="I11" s="33">
        <f>990+32</f>
        <v>1022</v>
      </c>
      <c r="J11" s="33">
        <v>1440</v>
      </c>
      <c r="K11" s="33">
        <f t="shared" si="3"/>
        <v>71</v>
      </c>
      <c r="L11" s="30">
        <f t="shared" ref="L11:L32" si="24">I11*0.4</f>
        <v>408.8</v>
      </c>
      <c r="M11" s="30">
        <v>270</v>
      </c>
      <c r="N11" s="34">
        <f t="shared" si="5"/>
        <v>5</v>
      </c>
      <c r="O11" s="35"/>
      <c r="P11" s="36"/>
      <c r="Q11" s="30"/>
      <c r="R11" s="30"/>
      <c r="S11" s="30" t="e">
        <f t="shared" si="10"/>
        <v>#DIV/0!</v>
      </c>
      <c r="T11" s="30">
        <f t="shared" si="11"/>
        <v>0</v>
      </c>
      <c r="U11" s="30">
        <v>270</v>
      </c>
      <c r="V11" s="31">
        <f t="shared" si="6"/>
        <v>-9</v>
      </c>
      <c r="X11" s="30"/>
      <c r="Y11" s="30"/>
      <c r="Z11" s="30" t="e">
        <f t="shared" si="7"/>
        <v>#DIV/0!</v>
      </c>
      <c r="AA11" s="30">
        <f t="shared" si="8"/>
        <v>0</v>
      </c>
      <c r="AB11" s="30">
        <v>270</v>
      </c>
      <c r="AC11" s="34">
        <f t="shared" si="9"/>
        <v>-9</v>
      </c>
    </row>
    <row r="12" spans="1:29" s="37" customFormat="1" ht="20.25" customHeight="1" x14ac:dyDescent="0.25">
      <c r="A12" s="29" t="s">
        <v>9</v>
      </c>
      <c r="B12" s="30">
        <f>1140+44</f>
        <v>1184</v>
      </c>
      <c r="C12" s="30">
        <v>1980</v>
      </c>
      <c r="D12" s="38">
        <f t="shared" si="0"/>
        <v>59.8</v>
      </c>
      <c r="E12" s="30">
        <f t="shared" si="1"/>
        <v>473.6</v>
      </c>
      <c r="F12" s="30">
        <v>270</v>
      </c>
      <c r="G12" s="31">
        <f t="shared" si="2"/>
        <v>7</v>
      </c>
      <c r="H12" s="32"/>
      <c r="I12" s="33">
        <f>990+32</f>
        <v>1022</v>
      </c>
      <c r="J12" s="33">
        <v>1530</v>
      </c>
      <c r="K12" s="33">
        <f t="shared" si="3"/>
        <v>66.8</v>
      </c>
      <c r="L12" s="30">
        <f t="shared" si="24"/>
        <v>408.8</v>
      </c>
      <c r="M12" s="30">
        <v>270</v>
      </c>
      <c r="N12" s="34">
        <f t="shared" si="5"/>
        <v>5</v>
      </c>
      <c r="O12" s="35"/>
      <c r="P12" s="36"/>
      <c r="Q12" s="30"/>
      <c r="R12" s="30"/>
      <c r="S12" s="30" t="e">
        <f t="shared" si="10"/>
        <v>#DIV/0!</v>
      </c>
      <c r="T12" s="30">
        <f t="shared" si="11"/>
        <v>0</v>
      </c>
      <c r="U12" s="30">
        <v>270</v>
      </c>
      <c r="V12" s="31">
        <f t="shared" si="6"/>
        <v>-9</v>
      </c>
      <c r="X12" s="30"/>
      <c r="Y12" s="30"/>
      <c r="Z12" s="30" t="e">
        <f t="shared" si="7"/>
        <v>#DIV/0!</v>
      </c>
      <c r="AA12" s="30">
        <f t="shared" si="8"/>
        <v>0</v>
      </c>
      <c r="AB12" s="30">
        <v>270</v>
      </c>
      <c r="AC12" s="34">
        <f t="shared" si="9"/>
        <v>-9</v>
      </c>
    </row>
    <row r="13" spans="1:29" s="37" customFormat="1" ht="20.25" customHeight="1" x14ac:dyDescent="0.25">
      <c r="A13" s="29" t="s">
        <v>10</v>
      </c>
      <c r="B13" s="30">
        <f>1020+46</f>
        <v>1066</v>
      </c>
      <c r="C13" s="30">
        <v>1920</v>
      </c>
      <c r="D13" s="38">
        <f t="shared" si="0"/>
        <v>55.5</v>
      </c>
      <c r="E13" s="30">
        <f t="shared" si="1"/>
        <v>426.40000000000003</v>
      </c>
      <c r="F13" s="30">
        <v>270</v>
      </c>
      <c r="G13" s="31">
        <f t="shared" si="2"/>
        <v>5</v>
      </c>
      <c r="H13" s="32"/>
      <c r="I13" s="33">
        <f>870+34</f>
        <v>904</v>
      </c>
      <c r="J13" s="33">
        <v>1470</v>
      </c>
      <c r="K13" s="33">
        <f t="shared" si="3"/>
        <v>61.5</v>
      </c>
      <c r="L13" s="30">
        <f t="shared" si="24"/>
        <v>361.6</v>
      </c>
      <c r="M13" s="30">
        <v>270</v>
      </c>
      <c r="N13" s="34">
        <f t="shared" si="5"/>
        <v>3</v>
      </c>
      <c r="O13" s="35"/>
      <c r="P13" s="36"/>
      <c r="Q13" s="30">
        <f>165+12+705+16</f>
        <v>898</v>
      </c>
      <c r="R13" s="30">
        <f>390+1080</f>
        <v>1470</v>
      </c>
      <c r="S13" s="30">
        <f t="shared" si="10"/>
        <v>61.1</v>
      </c>
      <c r="T13" s="30">
        <f t="shared" si="11"/>
        <v>359.20000000000005</v>
      </c>
      <c r="U13" s="30">
        <v>270</v>
      </c>
      <c r="V13" s="31">
        <f t="shared" si="6"/>
        <v>3</v>
      </c>
      <c r="X13" s="30">
        <f>705+16</f>
        <v>721</v>
      </c>
      <c r="Y13" s="30">
        <v>1080</v>
      </c>
      <c r="Z13" s="30">
        <f t="shared" si="7"/>
        <v>66.8</v>
      </c>
      <c r="AA13" s="30">
        <f t="shared" si="8"/>
        <v>288.40000000000003</v>
      </c>
      <c r="AB13" s="30">
        <v>270</v>
      </c>
      <c r="AC13" s="34">
        <f t="shared" si="9"/>
        <v>1</v>
      </c>
    </row>
    <row r="14" spans="1:29" s="37" customFormat="1" ht="20.25" customHeight="1" x14ac:dyDescent="0.25">
      <c r="A14" s="29" t="s">
        <v>26</v>
      </c>
      <c r="B14" s="30"/>
      <c r="C14" s="30"/>
      <c r="D14" s="38" t="e">
        <f t="shared" si="0"/>
        <v>#DIV/0!</v>
      </c>
      <c r="E14" s="30">
        <f t="shared" si="1"/>
        <v>0</v>
      </c>
      <c r="F14" s="30">
        <v>270</v>
      </c>
      <c r="G14" s="31">
        <f t="shared" si="2"/>
        <v>-9</v>
      </c>
      <c r="H14" s="32"/>
      <c r="I14" s="33"/>
      <c r="J14" s="33"/>
      <c r="K14" s="33"/>
      <c r="L14" s="30">
        <f t="shared" si="24"/>
        <v>0</v>
      </c>
      <c r="M14" s="30">
        <v>270</v>
      </c>
      <c r="N14" s="34">
        <f t="shared" si="5"/>
        <v>-9</v>
      </c>
      <c r="O14" s="35"/>
      <c r="P14" s="36"/>
      <c r="Q14" s="30"/>
      <c r="R14" s="30"/>
      <c r="S14" s="30" t="e">
        <f t="shared" si="10"/>
        <v>#DIV/0!</v>
      </c>
      <c r="T14" s="30">
        <f t="shared" si="11"/>
        <v>0</v>
      </c>
      <c r="U14" s="30">
        <v>270</v>
      </c>
      <c r="V14" s="31">
        <f t="shared" si="6"/>
        <v>-9</v>
      </c>
      <c r="X14" s="30"/>
      <c r="Y14" s="30"/>
      <c r="Z14" s="30" t="e">
        <f t="shared" si="7"/>
        <v>#DIV/0!</v>
      </c>
      <c r="AA14" s="30">
        <f t="shared" si="8"/>
        <v>0</v>
      </c>
      <c r="AB14" s="30">
        <v>270</v>
      </c>
      <c r="AC14" s="34">
        <f t="shared" si="9"/>
        <v>-9</v>
      </c>
    </row>
    <row r="15" spans="1:29" s="37" customFormat="1" ht="20.25" customHeight="1" x14ac:dyDescent="0.25">
      <c r="A15" s="29" t="s">
        <v>11</v>
      </c>
      <c r="B15" s="30">
        <f>1080+44</f>
        <v>1124</v>
      </c>
      <c r="C15" s="30">
        <v>1950</v>
      </c>
      <c r="D15" s="40">
        <f t="shared" si="0"/>
        <v>57.6</v>
      </c>
      <c r="E15" s="30">
        <f t="shared" si="1"/>
        <v>449.6</v>
      </c>
      <c r="F15" s="30">
        <v>270</v>
      </c>
      <c r="G15" s="31">
        <f t="shared" si="2"/>
        <v>6</v>
      </c>
      <c r="H15" s="32"/>
      <c r="I15" s="33">
        <f>930+32</f>
        <v>962</v>
      </c>
      <c r="J15" s="33">
        <v>1500</v>
      </c>
      <c r="K15" s="33">
        <f t="shared" si="3"/>
        <v>64.099999999999994</v>
      </c>
      <c r="L15" s="30">
        <f t="shared" si="24"/>
        <v>384.8</v>
      </c>
      <c r="M15" s="30">
        <v>270</v>
      </c>
      <c r="N15" s="34">
        <f t="shared" si="5"/>
        <v>4</v>
      </c>
      <c r="O15" s="35"/>
      <c r="P15" s="36"/>
      <c r="Q15" s="30"/>
      <c r="R15" s="30"/>
      <c r="S15" s="30" t="e">
        <f t="shared" si="10"/>
        <v>#DIV/0!</v>
      </c>
      <c r="T15" s="30">
        <f t="shared" si="11"/>
        <v>0</v>
      </c>
      <c r="U15" s="30">
        <v>270</v>
      </c>
      <c r="V15" s="31">
        <f t="shared" si="6"/>
        <v>-9</v>
      </c>
      <c r="X15" s="30"/>
      <c r="Y15" s="30"/>
      <c r="Z15" s="30" t="e">
        <f t="shared" si="7"/>
        <v>#DIV/0!</v>
      </c>
      <c r="AA15" s="30">
        <f t="shared" si="8"/>
        <v>0</v>
      </c>
      <c r="AB15" s="30">
        <v>270</v>
      </c>
      <c r="AC15" s="34">
        <f t="shared" si="9"/>
        <v>-9</v>
      </c>
    </row>
    <row r="16" spans="1:29" s="37" customFormat="1" ht="20.25" customHeight="1" x14ac:dyDescent="0.25">
      <c r="A16" s="29" t="s">
        <v>12</v>
      </c>
      <c r="B16" s="30">
        <f>1140+42</f>
        <v>1182</v>
      </c>
      <c r="C16" s="30">
        <v>1980</v>
      </c>
      <c r="D16" s="40">
        <f t="shared" si="0"/>
        <v>59.7</v>
      </c>
      <c r="E16" s="30">
        <f t="shared" si="1"/>
        <v>472.8</v>
      </c>
      <c r="F16" s="30">
        <v>270</v>
      </c>
      <c r="G16" s="31">
        <f t="shared" si="2"/>
        <v>7</v>
      </c>
      <c r="H16" s="32"/>
      <c r="I16" s="33">
        <f>990+30</f>
        <v>1020</v>
      </c>
      <c r="J16" s="33">
        <v>1530</v>
      </c>
      <c r="K16" s="33">
        <f t="shared" si="3"/>
        <v>66.7</v>
      </c>
      <c r="L16" s="30">
        <f t="shared" si="24"/>
        <v>408</v>
      </c>
      <c r="M16" s="30">
        <v>270</v>
      </c>
      <c r="N16" s="34">
        <f t="shared" si="5"/>
        <v>5</v>
      </c>
      <c r="O16" s="35"/>
      <c r="P16" s="36"/>
      <c r="Q16" s="30">
        <f>165+12+765+14</f>
        <v>956</v>
      </c>
      <c r="R16" s="30">
        <f>390+1110</f>
        <v>1500</v>
      </c>
      <c r="S16" s="33">
        <f t="shared" si="10"/>
        <v>63.7</v>
      </c>
      <c r="T16" s="30">
        <f t="shared" si="11"/>
        <v>382.40000000000003</v>
      </c>
      <c r="U16" s="30">
        <v>270</v>
      </c>
      <c r="V16" s="31">
        <f t="shared" si="6"/>
        <v>4</v>
      </c>
      <c r="W16" s="39"/>
      <c r="X16" s="33">
        <f>765+14</f>
        <v>779</v>
      </c>
      <c r="Y16" s="33">
        <v>1110</v>
      </c>
      <c r="Z16" s="33">
        <f t="shared" si="7"/>
        <v>70.2</v>
      </c>
      <c r="AA16" s="30">
        <f t="shared" si="8"/>
        <v>311.60000000000002</v>
      </c>
      <c r="AB16" s="30">
        <v>270</v>
      </c>
      <c r="AC16" s="34">
        <f t="shared" si="9"/>
        <v>1</v>
      </c>
    </row>
    <row r="17" spans="1:29" s="37" customFormat="1" ht="20.25" customHeight="1" x14ac:dyDescent="0.25">
      <c r="A17" s="29" t="s">
        <v>13</v>
      </c>
      <c r="B17" s="30">
        <f>1065+48</f>
        <v>1113</v>
      </c>
      <c r="C17" s="30">
        <v>1950</v>
      </c>
      <c r="D17" s="38">
        <f t="shared" si="0"/>
        <v>57.1</v>
      </c>
      <c r="E17" s="30">
        <f t="shared" si="1"/>
        <v>445.20000000000005</v>
      </c>
      <c r="F17" s="30">
        <v>270</v>
      </c>
      <c r="G17" s="31">
        <f t="shared" si="2"/>
        <v>6</v>
      </c>
      <c r="H17" s="32"/>
      <c r="I17" s="33">
        <f>915+36</f>
        <v>951</v>
      </c>
      <c r="J17" s="33">
        <v>1500</v>
      </c>
      <c r="K17" s="33">
        <f t="shared" si="3"/>
        <v>63.4</v>
      </c>
      <c r="L17" s="30">
        <f t="shared" si="24"/>
        <v>380.40000000000003</v>
      </c>
      <c r="M17" s="30">
        <v>270</v>
      </c>
      <c r="N17" s="34">
        <f t="shared" si="5"/>
        <v>4</v>
      </c>
      <c r="O17" s="35"/>
      <c r="P17" s="36"/>
      <c r="Q17" s="30"/>
      <c r="R17" s="30"/>
      <c r="S17" s="30" t="e">
        <f t="shared" si="10"/>
        <v>#DIV/0!</v>
      </c>
      <c r="T17" s="30">
        <f t="shared" si="11"/>
        <v>0</v>
      </c>
      <c r="U17" s="30">
        <v>270</v>
      </c>
      <c r="V17" s="31">
        <f t="shared" si="6"/>
        <v>-9</v>
      </c>
      <c r="X17" s="30"/>
      <c r="Y17" s="30"/>
      <c r="Z17" s="30" t="e">
        <f t="shared" si="7"/>
        <v>#DIV/0!</v>
      </c>
      <c r="AA17" s="30">
        <f t="shared" si="8"/>
        <v>0</v>
      </c>
      <c r="AB17" s="30">
        <v>270</v>
      </c>
      <c r="AC17" s="34">
        <f t="shared" si="9"/>
        <v>-9</v>
      </c>
    </row>
    <row r="18" spans="1:29" s="37" customFormat="1" ht="20.25" customHeight="1" x14ac:dyDescent="0.25">
      <c r="A18" s="29" t="s">
        <v>14</v>
      </c>
      <c r="B18" s="30">
        <f>1140+40</f>
        <v>1180</v>
      </c>
      <c r="C18" s="30">
        <v>1980</v>
      </c>
      <c r="D18" s="38">
        <f t="shared" si="0"/>
        <v>59.6</v>
      </c>
      <c r="E18" s="30">
        <f t="shared" si="1"/>
        <v>472</v>
      </c>
      <c r="F18" s="30">
        <v>270</v>
      </c>
      <c r="G18" s="31">
        <f t="shared" si="2"/>
        <v>7</v>
      </c>
      <c r="H18" s="32"/>
      <c r="I18" s="33">
        <f>990+28</f>
        <v>1018</v>
      </c>
      <c r="J18" s="33">
        <v>1530</v>
      </c>
      <c r="K18" s="33">
        <f t="shared" si="3"/>
        <v>66.5</v>
      </c>
      <c r="L18" s="30">
        <f t="shared" si="24"/>
        <v>407.20000000000005</v>
      </c>
      <c r="M18" s="30">
        <v>270</v>
      </c>
      <c r="N18" s="34">
        <f t="shared" si="5"/>
        <v>5</v>
      </c>
      <c r="O18" s="35"/>
      <c r="P18" s="36"/>
      <c r="Q18" s="30">
        <f>165+12+675+16</f>
        <v>868</v>
      </c>
      <c r="R18" s="30">
        <f>390+1065</f>
        <v>1455</v>
      </c>
      <c r="S18" s="41">
        <f t="shared" si="10"/>
        <v>59.7</v>
      </c>
      <c r="T18" s="30">
        <f t="shared" si="11"/>
        <v>347.20000000000005</v>
      </c>
      <c r="U18" s="30">
        <v>270</v>
      </c>
      <c r="V18" s="31">
        <f t="shared" si="6"/>
        <v>3</v>
      </c>
      <c r="X18" s="30">
        <f>675+16</f>
        <v>691</v>
      </c>
      <c r="Y18" s="30">
        <v>1065</v>
      </c>
      <c r="Z18" s="30">
        <f t="shared" si="7"/>
        <v>64.900000000000006</v>
      </c>
      <c r="AA18" s="30">
        <f t="shared" si="8"/>
        <v>276.40000000000003</v>
      </c>
      <c r="AB18" s="30">
        <v>270</v>
      </c>
      <c r="AC18" s="34">
        <f t="shared" si="9"/>
        <v>0</v>
      </c>
    </row>
    <row r="19" spans="1:29" s="37" customFormat="1" ht="20.25" customHeight="1" x14ac:dyDescent="0.25">
      <c r="A19" s="29" t="s">
        <v>15</v>
      </c>
      <c r="B19" s="30"/>
      <c r="C19" s="30"/>
      <c r="D19" s="30" t="e">
        <f t="shared" si="0"/>
        <v>#DIV/0!</v>
      </c>
      <c r="E19" s="30">
        <f t="shared" si="1"/>
        <v>0</v>
      </c>
      <c r="F19" s="30">
        <v>270</v>
      </c>
      <c r="G19" s="31">
        <f t="shared" si="2"/>
        <v>-9</v>
      </c>
      <c r="H19" s="32"/>
      <c r="I19" s="33"/>
      <c r="J19" s="33"/>
      <c r="K19" s="33" t="e">
        <f t="shared" si="3"/>
        <v>#DIV/0!</v>
      </c>
      <c r="L19" s="30">
        <f t="shared" si="24"/>
        <v>0</v>
      </c>
      <c r="M19" s="30">
        <v>270</v>
      </c>
      <c r="N19" s="34">
        <f t="shared" si="5"/>
        <v>-9</v>
      </c>
      <c r="O19" s="35"/>
      <c r="P19" s="36"/>
      <c r="Q19" s="30"/>
      <c r="R19" s="30"/>
      <c r="S19" s="30" t="e">
        <f t="shared" si="10"/>
        <v>#DIV/0!</v>
      </c>
      <c r="T19" s="30">
        <f t="shared" si="11"/>
        <v>0</v>
      </c>
      <c r="U19" s="30">
        <v>270</v>
      </c>
      <c r="V19" s="31">
        <f t="shared" si="6"/>
        <v>-9</v>
      </c>
      <c r="X19" s="30"/>
      <c r="Y19" s="30"/>
      <c r="Z19" s="30" t="e">
        <f t="shared" si="7"/>
        <v>#DIV/0!</v>
      </c>
      <c r="AA19" s="30">
        <f t="shared" si="8"/>
        <v>0</v>
      </c>
      <c r="AB19" s="30">
        <v>270</v>
      </c>
      <c r="AC19" s="34">
        <f t="shared" si="9"/>
        <v>-9</v>
      </c>
    </row>
    <row r="20" spans="1:29" s="37" customFormat="1" ht="20.25" customHeight="1" x14ac:dyDescent="0.25">
      <c r="A20" s="29" t="s">
        <v>16</v>
      </c>
      <c r="B20" s="30">
        <f>1170+52</f>
        <v>1222</v>
      </c>
      <c r="C20" s="30">
        <v>1995</v>
      </c>
      <c r="D20" s="30">
        <f t="shared" si="0"/>
        <v>61.3</v>
      </c>
      <c r="E20" s="30">
        <f t="shared" si="1"/>
        <v>488.8</v>
      </c>
      <c r="F20" s="30">
        <v>270</v>
      </c>
      <c r="G20" s="31">
        <f t="shared" si="2"/>
        <v>7</v>
      </c>
      <c r="H20" s="32"/>
      <c r="I20" s="33">
        <f>1020+40</f>
        <v>1060</v>
      </c>
      <c r="J20" s="33">
        <v>1545</v>
      </c>
      <c r="K20" s="33">
        <f t="shared" si="3"/>
        <v>68.599999999999994</v>
      </c>
      <c r="L20" s="30">
        <f t="shared" si="24"/>
        <v>424</v>
      </c>
      <c r="M20" s="30">
        <v>270</v>
      </c>
      <c r="N20" s="34">
        <f t="shared" si="5"/>
        <v>5</v>
      </c>
      <c r="O20" s="35"/>
      <c r="P20" s="36"/>
      <c r="Q20" s="30">
        <f>165+12+825+30</f>
        <v>1032</v>
      </c>
      <c r="R20" s="30">
        <f>390+1140</f>
        <v>1530</v>
      </c>
      <c r="S20" s="30">
        <f t="shared" si="10"/>
        <v>67.5</v>
      </c>
      <c r="T20" s="30">
        <f t="shared" si="11"/>
        <v>412.8</v>
      </c>
      <c r="U20" s="30">
        <v>270</v>
      </c>
      <c r="V20" s="31">
        <f t="shared" si="6"/>
        <v>5</v>
      </c>
      <c r="X20" s="30">
        <f>825+30</f>
        <v>855</v>
      </c>
      <c r="Y20" s="30">
        <f>1140</f>
        <v>1140</v>
      </c>
      <c r="Z20" s="30">
        <f t="shared" si="7"/>
        <v>75</v>
      </c>
      <c r="AA20" s="30">
        <f t="shared" si="8"/>
        <v>342</v>
      </c>
      <c r="AB20" s="30">
        <v>270</v>
      </c>
      <c r="AC20" s="34">
        <f t="shared" si="9"/>
        <v>2</v>
      </c>
    </row>
    <row r="21" spans="1:29" s="37" customFormat="1" ht="20.25" customHeight="1" x14ac:dyDescent="0.25">
      <c r="A21" s="29" t="s">
        <v>17</v>
      </c>
      <c r="B21" s="30">
        <f>1170+52</f>
        <v>1222</v>
      </c>
      <c r="C21" s="30">
        <v>1995</v>
      </c>
      <c r="D21" s="30">
        <f t="shared" si="0"/>
        <v>61.3</v>
      </c>
      <c r="E21" s="30">
        <f t="shared" si="1"/>
        <v>488.8</v>
      </c>
      <c r="F21" s="30">
        <v>270</v>
      </c>
      <c r="G21" s="31">
        <f t="shared" si="2"/>
        <v>7</v>
      </c>
      <c r="H21" s="32"/>
      <c r="I21" s="33">
        <f>1020+40</f>
        <v>1060</v>
      </c>
      <c r="J21" s="33">
        <v>1545</v>
      </c>
      <c r="K21" s="33">
        <f t="shared" si="3"/>
        <v>68.599999999999994</v>
      </c>
      <c r="L21" s="30">
        <f t="shared" si="24"/>
        <v>424</v>
      </c>
      <c r="M21" s="30">
        <v>270</v>
      </c>
      <c r="N21" s="34">
        <f t="shared" si="5"/>
        <v>5</v>
      </c>
      <c r="O21" s="35"/>
      <c r="P21" s="36"/>
      <c r="Q21" s="30">
        <f>165+12+825+30</f>
        <v>1032</v>
      </c>
      <c r="R21" s="30">
        <f>390+1140</f>
        <v>1530</v>
      </c>
      <c r="S21" s="33">
        <f t="shared" si="10"/>
        <v>67.5</v>
      </c>
      <c r="T21" s="30">
        <f t="shared" si="11"/>
        <v>412.8</v>
      </c>
      <c r="U21" s="30">
        <v>270</v>
      </c>
      <c r="V21" s="31">
        <f t="shared" si="6"/>
        <v>5</v>
      </c>
      <c r="W21" s="39"/>
      <c r="X21" s="33">
        <f>825+30</f>
        <v>855</v>
      </c>
      <c r="Y21" s="33">
        <v>1140</v>
      </c>
      <c r="Z21" s="33">
        <f t="shared" si="7"/>
        <v>75</v>
      </c>
      <c r="AA21" s="30">
        <f t="shared" si="8"/>
        <v>342</v>
      </c>
      <c r="AB21" s="30">
        <v>270</v>
      </c>
      <c r="AC21" s="34">
        <f t="shared" si="9"/>
        <v>2</v>
      </c>
    </row>
    <row r="22" spans="1:29" s="37" customFormat="1" ht="20.25" customHeight="1" x14ac:dyDescent="0.25">
      <c r="A22" s="29" t="s">
        <v>18</v>
      </c>
      <c r="B22" s="30"/>
      <c r="C22" s="30"/>
      <c r="D22" s="30" t="e">
        <f t="shared" si="0"/>
        <v>#DIV/0!</v>
      </c>
      <c r="E22" s="30">
        <f t="shared" si="1"/>
        <v>0</v>
      </c>
      <c r="F22" s="30">
        <v>270</v>
      </c>
      <c r="G22" s="31">
        <f t="shared" si="2"/>
        <v>-9</v>
      </c>
      <c r="H22" s="32"/>
      <c r="I22" s="33"/>
      <c r="J22" s="33"/>
      <c r="K22" s="33" t="e">
        <f t="shared" si="3"/>
        <v>#DIV/0!</v>
      </c>
      <c r="L22" s="30">
        <f t="shared" si="24"/>
        <v>0</v>
      </c>
      <c r="M22" s="30">
        <v>270</v>
      </c>
      <c r="N22" s="34">
        <f t="shared" si="5"/>
        <v>-9</v>
      </c>
      <c r="O22" s="35"/>
      <c r="P22" s="36"/>
      <c r="Q22" s="30"/>
      <c r="R22" s="30"/>
      <c r="S22" s="30" t="e">
        <f t="shared" si="10"/>
        <v>#DIV/0!</v>
      </c>
      <c r="T22" s="30">
        <f t="shared" si="11"/>
        <v>0</v>
      </c>
      <c r="U22" s="30">
        <v>270</v>
      </c>
      <c r="V22" s="31">
        <f t="shared" si="6"/>
        <v>-9</v>
      </c>
      <c r="X22" s="30"/>
      <c r="Y22" s="30"/>
      <c r="Z22" s="30" t="e">
        <f t="shared" si="7"/>
        <v>#DIV/0!</v>
      </c>
      <c r="AA22" s="30">
        <f t="shared" si="8"/>
        <v>0</v>
      </c>
      <c r="AB22" s="30">
        <v>270</v>
      </c>
      <c r="AC22" s="34">
        <f t="shared" si="9"/>
        <v>-9</v>
      </c>
    </row>
    <row r="23" spans="1:29" s="37" customFormat="1" ht="20.25" customHeight="1" x14ac:dyDescent="0.25">
      <c r="A23" s="29" t="s">
        <v>28</v>
      </c>
      <c r="B23" s="30">
        <f>1170+52</f>
        <v>1222</v>
      </c>
      <c r="C23" s="30">
        <v>1995</v>
      </c>
      <c r="D23" s="30">
        <f t="shared" si="0"/>
        <v>61.3</v>
      </c>
      <c r="E23" s="30">
        <f t="shared" si="1"/>
        <v>488.8</v>
      </c>
      <c r="F23" s="30">
        <v>270</v>
      </c>
      <c r="G23" s="31">
        <f t="shared" si="2"/>
        <v>7</v>
      </c>
      <c r="H23" s="32"/>
      <c r="I23" s="33">
        <f>1020+40</f>
        <v>1060</v>
      </c>
      <c r="J23" s="33">
        <v>1545</v>
      </c>
      <c r="K23" s="33">
        <f t="shared" si="3"/>
        <v>68.599999999999994</v>
      </c>
      <c r="L23" s="30">
        <f t="shared" si="24"/>
        <v>424</v>
      </c>
      <c r="M23" s="30">
        <v>270</v>
      </c>
      <c r="N23" s="34">
        <f t="shared" si="5"/>
        <v>5</v>
      </c>
      <c r="O23" s="35"/>
      <c r="P23" s="36"/>
      <c r="Q23" s="30"/>
      <c r="R23" s="30"/>
      <c r="S23" s="30" t="e">
        <f t="shared" si="10"/>
        <v>#DIV/0!</v>
      </c>
      <c r="T23" s="30">
        <f t="shared" si="11"/>
        <v>0</v>
      </c>
      <c r="U23" s="30">
        <v>270</v>
      </c>
      <c r="V23" s="31">
        <f t="shared" si="6"/>
        <v>-9</v>
      </c>
      <c r="X23" s="30"/>
      <c r="Y23" s="30"/>
      <c r="Z23" s="30" t="e">
        <f t="shared" si="7"/>
        <v>#DIV/0!</v>
      </c>
      <c r="AA23" s="30">
        <f t="shared" si="8"/>
        <v>0</v>
      </c>
      <c r="AB23" s="30">
        <v>270</v>
      </c>
      <c r="AC23" s="34">
        <f t="shared" si="9"/>
        <v>-9</v>
      </c>
    </row>
    <row r="24" spans="1:29" s="37" customFormat="1" ht="20.25" customHeight="1" x14ac:dyDescent="0.25">
      <c r="A24" s="29" t="s">
        <v>19</v>
      </c>
      <c r="B24" s="30">
        <f>1200+48</f>
        <v>1248</v>
      </c>
      <c r="C24" s="30">
        <v>2010</v>
      </c>
      <c r="D24" s="30">
        <f t="shared" si="0"/>
        <v>62.1</v>
      </c>
      <c r="E24" s="30">
        <f t="shared" si="1"/>
        <v>499.20000000000005</v>
      </c>
      <c r="F24" s="30">
        <v>270</v>
      </c>
      <c r="G24" s="31">
        <f t="shared" si="2"/>
        <v>8</v>
      </c>
      <c r="H24" s="32"/>
      <c r="I24" s="33">
        <f>240+12+750+20+64</f>
        <v>1086</v>
      </c>
      <c r="J24" s="33">
        <f>360+1050+150</f>
        <v>1560</v>
      </c>
      <c r="K24" s="33">
        <f t="shared" si="3"/>
        <v>69.599999999999994</v>
      </c>
      <c r="L24" s="30">
        <f t="shared" si="24"/>
        <v>434.40000000000003</v>
      </c>
      <c r="M24" s="30">
        <v>270</v>
      </c>
      <c r="N24" s="34">
        <f t="shared" si="5"/>
        <v>5</v>
      </c>
      <c r="O24" s="35"/>
      <c r="P24" s="36"/>
      <c r="Q24" s="30">
        <f>165+12+795+22</f>
        <v>994</v>
      </c>
      <c r="R24" s="30">
        <f>390+1125</f>
        <v>1515</v>
      </c>
      <c r="S24" s="30">
        <f t="shared" si="10"/>
        <v>65.599999999999994</v>
      </c>
      <c r="T24" s="30">
        <f t="shared" si="11"/>
        <v>397.6</v>
      </c>
      <c r="U24" s="30">
        <v>270</v>
      </c>
      <c r="V24" s="31">
        <f t="shared" si="6"/>
        <v>4</v>
      </c>
      <c r="X24" s="30">
        <f>795+22</f>
        <v>817</v>
      </c>
      <c r="Y24" s="30">
        <v>1125</v>
      </c>
      <c r="Z24" s="30">
        <f t="shared" si="7"/>
        <v>72.599999999999994</v>
      </c>
      <c r="AA24" s="30">
        <f t="shared" si="8"/>
        <v>326.8</v>
      </c>
      <c r="AB24" s="30">
        <v>270</v>
      </c>
      <c r="AC24" s="34">
        <f t="shared" si="9"/>
        <v>2</v>
      </c>
    </row>
    <row r="25" spans="1:29" s="37" customFormat="1" ht="20.25" customHeight="1" x14ac:dyDescent="0.25">
      <c r="A25" s="29" t="s">
        <v>20</v>
      </c>
      <c r="B25" s="30">
        <f>1230+48</f>
        <v>1278</v>
      </c>
      <c r="C25" s="30">
        <v>2025</v>
      </c>
      <c r="D25" s="30">
        <f t="shared" si="0"/>
        <v>63.1</v>
      </c>
      <c r="E25" s="30">
        <f t="shared" si="1"/>
        <v>511.20000000000005</v>
      </c>
      <c r="F25" s="30">
        <v>270</v>
      </c>
      <c r="G25" s="31">
        <f t="shared" si="2"/>
        <v>8</v>
      </c>
      <c r="H25" s="32"/>
      <c r="I25" s="33">
        <f>240+12+780+20+60+4</f>
        <v>1116</v>
      </c>
      <c r="J25" s="33">
        <f>360+1065+150</f>
        <v>1575</v>
      </c>
      <c r="K25" s="33">
        <f t="shared" si="3"/>
        <v>70.900000000000006</v>
      </c>
      <c r="L25" s="30">
        <f t="shared" si="24"/>
        <v>446.40000000000003</v>
      </c>
      <c r="M25" s="30">
        <v>270</v>
      </c>
      <c r="N25" s="34">
        <f t="shared" si="5"/>
        <v>6</v>
      </c>
      <c r="O25" s="35"/>
      <c r="P25" s="36"/>
      <c r="Q25" s="30">
        <f>165+12+210+10+555+14+60+2</f>
        <v>1028</v>
      </c>
      <c r="R25" s="30">
        <f>390+315+735+90</f>
        <v>1530</v>
      </c>
      <c r="S25" s="30">
        <f t="shared" si="10"/>
        <v>67.2</v>
      </c>
      <c r="T25" s="30">
        <f t="shared" si="11"/>
        <v>411.20000000000005</v>
      </c>
      <c r="U25" s="30">
        <v>270</v>
      </c>
      <c r="V25" s="31">
        <f t="shared" si="6"/>
        <v>5</v>
      </c>
      <c r="X25" s="30">
        <f>210+10+555+14+60+2</f>
        <v>851</v>
      </c>
      <c r="Y25" s="30">
        <f>315+735+90</f>
        <v>1140</v>
      </c>
      <c r="Z25" s="30">
        <f t="shared" si="7"/>
        <v>74.599999999999994</v>
      </c>
      <c r="AA25" s="30">
        <f t="shared" si="8"/>
        <v>340.40000000000003</v>
      </c>
      <c r="AB25" s="30">
        <v>270</v>
      </c>
      <c r="AC25" s="34">
        <f t="shared" si="9"/>
        <v>2</v>
      </c>
    </row>
    <row r="26" spans="1:29" s="37" customFormat="1" ht="20.25" customHeight="1" x14ac:dyDescent="0.25">
      <c r="A26" s="29" t="s">
        <v>29</v>
      </c>
      <c r="B26" s="30">
        <f>1200+48</f>
        <v>1248</v>
      </c>
      <c r="C26" s="30">
        <v>2010</v>
      </c>
      <c r="D26" s="30">
        <f t="shared" si="0"/>
        <v>62.1</v>
      </c>
      <c r="E26" s="30">
        <f t="shared" si="1"/>
        <v>499.20000000000005</v>
      </c>
      <c r="F26" s="30">
        <v>270</v>
      </c>
      <c r="G26" s="31">
        <f t="shared" si="2"/>
        <v>8</v>
      </c>
      <c r="H26" s="32"/>
      <c r="I26" s="33">
        <f>240+12+750+20+60+4</f>
        <v>1086</v>
      </c>
      <c r="J26" s="33">
        <f>1050+150+360</f>
        <v>1560</v>
      </c>
      <c r="K26" s="33">
        <f t="shared" si="3"/>
        <v>69.599999999999994</v>
      </c>
      <c r="L26" s="30">
        <f t="shared" si="24"/>
        <v>434.40000000000003</v>
      </c>
      <c r="M26" s="30">
        <v>270</v>
      </c>
      <c r="N26" s="34">
        <f t="shared" si="5"/>
        <v>5</v>
      </c>
      <c r="O26" s="35"/>
      <c r="P26" s="36"/>
      <c r="Q26" s="30">
        <f>165+12+795+24</f>
        <v>996</v>
      </c>
      <c r="R26" s="30">
        <f>390+1125</f>
        <v>1515</v>
      </c>
      <c r="S26" s="30">
        <f t="shared" si="10"/>
        <v>65.7</v>
      </c>
      <c r="T26" s="30">
        <f t="shared" si="11"/>
        <v>398.40000000000003</v>
      </c>
      <c r="U26" s="30">
        <v>270</v>
      </c>
      <c r="V26" s="31">
        <f t="shared" si="6"/>
        <v>4</v>
      </c>
      <c r="X26" s="30">
        <f>795+24</f>
        <v>819</v>
      </c>
      <c r="Y26" s="30">
        <v>1125</v>
      </c>
      <c r="Z26" s="30">
        <f t="shared" si="7"/>
        <v>72.8</v>
      </c>
      <c r="AA26" s="30">
        <f t="shared" si="8"/>
        <v>327.60000000000002</v>
      </c>
      <c r="AB26" s="30">
        <v>270</v>
      </c>
      <c r="AC26" s="34">
        <f t="shared" si="9"/>
        <v>2</v>
      </c>
    </row>
    <row r="27" spans="1:29" s="37" customFormat="1" ht="20.25" customHeight="1" x14ac:dyDescent="0.25">
      <c r="A27" s="29" t="s">
        <v>21</v>
      </c>
      <c r="B27" s="30">
        <f>1020+40</f>
        <v>1060</v>
      </c>
      <c r="C27" s="30">
        <v>1920</v>
      </c>
      <c r="D27" s="42">
        <f t="shared" si="0"/>
        <v>55.2</v>
      </c>
      <c r="E27" s="30">
        <f t="shared" si="1"/>
        <v>424</v>
      </c>
      <c r="F27" s="30">
        <v>270</v>
      </c>
      <c r="G27" s="31">
        <f t="shared" si="2"/>
        <v>5</v>
      </c>
      <c r="H27" s="32"/>
      <c r="I27" s="33">
        <f>870+28</f>
        <v>898</v>
      </c>
      <c r="J27" s="33">
        <v>1470</v>
      </c>
      <c r="K27" s="33">
        <f t="shared" si="3"/>
        <v>61.1</v>
      </c>
      <c r="L27" s="30">
        <f t="shared" si="24"/>
        <v>359.20000000000005</v>
      </c>
      <c r="M27" s="30">
        <v>270</v>
      </c>
      <c r="N27" s="34">
        <f t="shared" si="5"/>
        <v>3</v>
      </c>
      <c r="O27" s="35"/>
      <c r="P27" s="36"/>
      <c r="Q27" s="30">
        <f>165+12+600+22</f>
        <v>799</v>
      </c>
      <c r="R27" s="30">
        <f>390+1020</f>
        <v>1410</v>
      </c>
      <c r="S27" s="41">
        <f t="shared" si="10"/>
        <v>56.7</v>
      </c>
      <c r="T27" s="30">
        <f t="shared" si="11"/>
        <v>319.60000000000002</v>
      </c>
      <c r="U27" s="30">
        <v>270</v>
      </c>
      <c r="V27" s="31">
        <f t="shared" si="6"/>
        <v>2</v>
      </c>
      <c r="X27" s="30">
        <f>600+22</f>
        <v>622</v>
      </c>
      <c r="Y27" s="30">
        <v>1020</v>
      </c>
      <c r="Z27" s="30">
        <f t="shared" si="7"/>
        <v>61</v>
      </c>
      <c r="AA27" s="30">
        <f t="shared" si="8"/>
        <v>248.8</v>
      </c>
      <c r="AB27" s="30">
        <v>270</v>
      </c>
      <c r="AC27" s="34">
        <f t="shared" si="9"/>
        <v>-1</v>
      </c>
    </row>
    <row r="28" spans="1:29" s="37" customFormat="1" ht="20.25" customHeight="1" x14ac:dyDescent="0.25">
      <c r="A28" s="29" t="s">
        <v>22</v>
      </c>
      <c r="B28" s="30">
        <f>1050+46</f>
        <v>1096</v>
      </c>
      <c r="C28" s="30">
        <v>1935</v>
      </c>
      <c r="D28" s="42">
        <f t="shared" si="0"/>
        <v>56.6</v>
      </c>
      <c r="E28" s="30">
        <f t="shared" si="1"/>
        <v>438.40000000000003</v>
      </c>
      <c r="F28" s="30">
        <v>270</v>
      </c>
      <c r="G28" s="31">
        <f t="shared" si="2"/>
        <v>6</v>
      </c>
      <c r="H28" s="32"/>
      <c r="I28" s="33">
        <v>934</v>
      </c>
      <c r="J28" s="33">
        <v>1485</v>
      </c>
      <c r="K28" s="33">
        <f t="shared" si="3"/>
        <v>62.9</v>
      </c>
      <c r="L28" s="30">
        <f t="shared" si="24"/>
        <v>373.6</v>
      </c>
      <c r="M28" s="30">
        <v>270</v>
      </c>
      <c r="N28" s="34">
        <f t="shared" si="5"/>
        <v>3</v>
      </c>
      <c r="O28" s="35"/>
      <c r="P28" s="36"/>
      <c r="Q28" s="30">
        <f>165+12+720+20</f>
        <v>917</v>
      </c>
      <c r="R28" s="30">
        <f>390+1080</f>
        <v>1470</v>
      </c>
      <c r="S28" s="33">
        <f t="shared" si="10"/>
        <v>62.4</v>
      </c>
      <c r="T28" s="30">
        <f t="shared" si="11"/>
        <v>366.8</v>
      </c>
      <c r="U28" s="30">
        <v>270</v>
      </c>
      <c r="V28" s="31">
        <f t="shared" si="6"/>
        <v>3</v>
      </c>
      <c r="W28" s="39"/>
      <c r="X28" s="33">
        <f>720+20</f>
        <v>740</v>
      </c>
      <c r="Y28" s="33">
        <v>1080</v>
      </c>
      <c r="Z28" s="33">
        <f t="shared" si="7"/>
        <v>68.5</v>
      </c>
      <c r="AA28" s="30">
        <f t="shared" si="8"/>
        <v>296</v>
      </c>
      <c r="AB28" s="30">
        <v>270</v>
      </c>
      <c r="AC28" s="34">
        <f t="shared" si="9"/>
        <v>1</v>
      </c>
    </row>
    <row r="29" spans="1:29" s="37" customFormat="1" ht="20.25" customHeight="1" x14ac:dyDescent="0.25">
      <c r="A29" s="29" t="s">
        <v>27</v>
      </c>
      <c r="B29" s="30"/>
      <c r="C29" s="30"/>
      <c r="D29" s="38" t="e">
        <f t="shared" si="0"/>
        <v>#DIV/0!</v>
      </c>
      <c r="E29" s="30">
        <f t="shared" si="1"/>
        <v>0</v>
      </c>
      <c r="F29" s="30">
        <v>270</v>
      </c>
      <c r="G29" s="31">
        <f t="shared" si="2"/>
        <v>-9</v>
      </c>
      <c r="H29" s="32"/>
      <c r="I29" s="33"/>
      <c r="J29" s="33"/>
      <c r="K29" s="33"/>
      <c r="L29" s="30">
        <f t="shared" si="24"/>
        <v>0</v>
      </c>
      <c r="M29" s="30">
        <v>270</v>
      </c>
      <c r="N29" s="34">
        <f t="shared" si="5"/>
        <v>-9</v>
      </c>
      <c r="O29" s="35"/>
      <c r="P29" s="36"/>
      <c r="Q29" s="30"/>
      <c r="R29" s="30"/>
      <c r="S29" s="41" t="e">
        <f t="shared" si="10"/>
        <v>#DIV/0!</v>
      </c>
      <c r="T29" s="30">
        <f t="shared" si="11"/>
        <v>0</v>
      </c>
      <c r="U29" s="30">
        <v>270</v>
      </c>
      <c r="V29" s="31">
        <f t="shared" si="6"/>
        <v>-9</v>
      </c>
      <c r="W29" s="39"/>
      <c r="X29" s="33"/>
      <c r="Y29" s="33"/>
      <c r="Z29" s="33" t="e">
        <f t="shared" si="7"/>
        <v>#DIV/0!</v>
      </c>
      <c r="AA29" s="30">
        <f t="shared" si="8"/>
        <v>0</v>
      </c>
      <c r="AB29" s="30">
        <v>270</v>
      </c>
      <c r="AC29" s="34">
        <f t="shared" si="9"/>
        <v>-9</v>
      </c>
    </row>
    <row r="30" spans="1:29" s="37" customFormat="1" ht="20.25" customHeight="1" x14ac:dyDescent="0.25">
      <c r="A30" s="29" t="s">
        <v>23</v>
      </c>
      <c r="B30" s="30">
        <f>990+48</f>
        <v>1038</v>
      </c>
      <c r="C30" s="30">
        <v>1905</v>
      </c>
      <c r="D30" s="38">
        <f t="shared" si="0"/>
        <v>54.5</v>
      </c>
      <c r="E30" s="30">
        <f t="shared" si="1"/>
        <v>415.20000000000005</v>
      </c>
      <c r="F30" s="30">
        <v>270</v>
      </c>
      <c r="G30" s="31">
        <f t="shared" si="2"/>
        <v>5</v>
      </c>
      <c r="H30" s="32"/>
      <c r="I30" s="33">
        <f>840+36</f>
        <v>876</v>
      </c>
      <c r="J30" s="33">
        <v>1455</v>
      </c>
      <c r="K30" s="33">
        <f t="shared" si="3"/>
        <v>60.2</v>
      </c>
      <c r="L30" s="30">
        <f t="shared" si="24"/>
        <v>350.40000000000003</v>
      </c>
      <c r="M30" s="30">
        <v>270</v>
      </c>
      <c r="N30" s="34">
        <f t="shared" si="5"/>
        <v>3</v>
      </c>
      <c r="O30" s="35"/>
      <c r="P30" s="36"/>
      <c r="Q30" s="30">
        <f>165+12+615+22</f>
        <v>814</v>
      </c>
      <c r="R30" s="30">
        <f>390+1035</f>
        <v>1425</v>
      </c>
      <c r="S30" s="41">
        <f t="shared" si="10"/>
        <v>57.1</v>
      </c>
      <c r="T30" s="30">
        <f t="shared" si="11"/>
        <v>325.60000000000002</v>
      </c>
      <c r="U30" s="30">
        <v>270</v>
      </c>
      <c r="V30" s="31">
        <f t="shared" si="6"/>
        <v>2</v>
      </c>
      <c r="X30" s="30">
        <f>615+22</f>
        <v>637</v>
      </c>
      <c r="Y30" s="33">
        <v>1035</v>
      </c>
      <c r="Z30" s="30">
        <f t="shared" si="7"/>
        <v>61.5</v>
      </c>
      <c r="AA30" s="30">
        <f t="shared" si="8"/>
        <v>254.8</v>
      </c>
      <c r="AB30" s="30">
        <v>270</v>
      </c>
      <c r="AC30" s="34">
        <f t="shared" si="9"/>
        <v>-1</v>
      </c>
    </row>
    <row r="31" spans="1:29" s="37" customFormat="1" ht="20.25" customHeight="1" x14ac:dyDescent="0.25">
      <c r="A31" s="29" t="s">
        <v>24</v>
      </c>
      <c r="B31" s="30">
        <f>1200+48</f>
        <v>1248</v>
      </c>
      <c r="C31" s="30">
        <v>2010</v>
      </c>
      <c r="D31" s="30">
        <f t="shared" si="0"/>
        <v>62.1</v>
      </c>
      <c r="E31" s="30">
        <f t="shared" si="1"/>
        <v>499.20000000000005</v>
      </c>
      <c r="F31" s="30">
        <v>270</v>
      </c>
      <c r="G31" s="31">
        <f t="shared" si="2"/>
        <v>8</v>
      </c>
      <c r="H31" s="32"/>
      <c r="I31" s="33">
        <f>1050+36</f>
        <v>1086</v>
      </c>
      <c r="J31" s="33">
        <v>1560</v>
      </c>
      <c r="K31" s="33">
        <f t="shared" si="3"/>
        <v>69.599999999999994</v>
      </c>
      <c r="L31" s="30">
        <f t="shared" si="24"/>
        <v>434.40000000000003</v>
      </c>
      <c r="M31" s="30">
        <v>270</v>
      </c>
      <c r="N31" s="34">
        <f t="shared" si="5"/>
        <v>5</v>
      </c>
      <c r="O31" s="35"/>
      <c r="P31" s="36"/>
      <c r="Q31" s="30">
        <f>165+12+825+2</f>
        <v>1004</v>
      </c>
      <c r="R31" s="30">
        <f>390+1140</f>
        <v>1530</v>
      </c>
      <c r="S31" s="30">
        <f t="shared" si="10"/>
        <v>65.599999999999994</v>
      </c>
      <c r="T31" s="30">
        <f t="shared" si="11"/>
        <v>401.6</v>
      </c>
      <c r="U31" s="30">
        <v>270</v>
      </c>
      <c r="V31" s="31">
        <f t="shared" si="6"/>
        <v>4</v>
      </c>
      <c r="X31" s="30">
        <f>825+20</f>
        <v>845</v>
      </c>
      <c r="Y31" s="30">
        <f>1140</f>
        <v>1140</v>
      </c>
      <c r="Z31" s="30">
        <f t="shared" si="7"/>
        <v>74.099999999999994</v>
      </c>
      <c r="AA31" s="30">
        <f t="shared" si="8"/>
        <v>338</v>
      </c>
      <c r="AB31" s="30">
        <v>270</v>
      </c>
      <c r="AC31" s="34">
        <f t="shared" si="9"/>
        <v>2</v>
      </c>
    </row>
    <row r="32" spans="1:29" s="37" customFormat="1" ht="20.25" customHeight="1" x14ac:dyDescent="0.25">
      <c r="A32" s="43" t="s">
        <v>25</v>
      </c>
      <c r="B32" s="30"/>
      <c r="C32" s="30"/>
      <c r="D32" s="30" t="s">
        <v>39</v>
      </c>
      <c r="E32" s="30">
        <f t="shared" si="1"/>
        <v>0</v>
      </c>
      <c r="F32" s="30"/>
      <c r="G32" s="30">
        <f t="shared" ref="G32" si="25">ROUND(E32/30,0)</f>
        <v>0</v>
      </c>
      <c r="H32" s="32"/>
      <c r="I32" s="33"/>
      <c r="J32" s="33"/>
      <c r="K32" s="33" t="s">
        <v>40</v>
      </c>
      <c r="L32" s="30">
        <f t="shared" si="24"/>
        <v>0</v>
      </c>
      <c r="M32" s="30"/>
      <c r="N32" s="30">
        <f t="shared" si="5"/>
        <v>0</v>
      </c>
      <c r="O32" s="35"/>
      <c r="P32" s="36"/>
      <c r="Q32" s="30"/>
      <c r="R32" s="30"/>
      <c r="S32" s="30"/>
      <c r="T32" s="30">
        <f t="shared" si="11"/>
        <v>0</v>
      </c>
      <c r="U32" s="30">
        <v>270</v>
      </c>
      <c r="V32" s="31">
        <f t="shared" si="6"/>
        <v>-9</v>
      </c>
      <c r="X32" s="30"/>
      <c r="Y32" s="30"/>
      <c r="Z32" s="30"/>
      <c r="AA32" s="30">
        <f t="shared" si="8"/>
        <v>0</v>
      </c>
      <c r="AB32" s="30">
        <v>270</v>
      </c>
      <c r="AC32" s="34">
        <f t="shared" si="9"/>
        <v>-9</v>
      </c>
    </row>
    <row r="33" spans="1:29" s="37" customFormat="1" ht="20.25" customHeight="1" x14ac:dyDescent="0.25">
      <c r="A33" s="36"/>
      <c r="B33" s="36"/>
      <c r="C33" s="36"/>
      <c r="D33" s="36"/>
      <c r="E33" s="36"/>
      <c r="F33" s="36"/>
      <c r="G33" s="32"/>
      <c r="H33" s="32"/>
      <c r="I33" s="36"/>
      <c r="J33" s="36"/>
      <c r="K33" s="36"/>
      <c r="L33" s="36"/>
      <c r="M33" s="36"/>
      <c r="N33" s="36"/>
      <c r="O33" s="44"/>
      <c r="P33" s="36"/>
      <c r="Q33" s="30"/>
      <c r="R33" s="30"/>
      <c r="S33" s="30"/>
      <c r="T33" s="30">
        <f t="shared" si="11"/>
        <v>0</v>
      </c>
      <c r="U33" s="30">
        <v>270</v>
      </c>
      <c r="V33" s="31">
        <f t="shared" si="6"/>
        <v>-9</v>
      </c>
      <c r="X33" s="30"/>
      <c r="Y33" s="30"/>
      <c r="Z33" s="30"/>
      <c r="AA33" s="30">
        <f t="shared" si="8"/>
        <v>0</v>
      </c>
      <c r="AB33" s="30">
        <v>270</v>
      </c>
      <c r="AC33" s="34">
        <f t="shared" si="9"/>
        <v>-9</v>
      </c>
    </row>
    <row r="34" spans="1:29" s="37" customFormat="1" ht="20.25" customHeight="1" x14ac:dyDescent="0.25">
      <c r="A34" s="36"/>
      <c r="B34" s="36"/>
      <c r="C34" s="36"/>
      <c r="D34" s="45" t="s">
        <v>36</v>
      </c>
      <c r="E34" s="36"/>
      <c r="F34" s="36"/>
      <c r="G34" s="32"/>
      <c r="H34" s="32"/>
      <c r="I34" s="36"/>
      <c r="J34" s="36"/>
      <c r="K34" s="36"/>
      <c r="L34" s="36"/>
      <c r="M34" s="36"/>
      <c r="N34" s="36"/>
      <c r="O34" s="44"/>
      <c r="P34" s="45" t="s">
        <v>34</v>
      </c>
      <c r="Q34" s="30">
        <f>120+12+735+16</f>
        <v>883</v>
      </c>
      <c r="R34" s="30">
        <f>315+990</f>
        <v>1305</v>
      </c>
      <c r="S34" s="33">
        <f t="shared" ref="S34" si="26">ROUND(Q34*100/R34,1)</f>
        <v>67.7</v>
      </c>
      <c r="T34" s="30">
        <f t="shared" si="11"/>
        <v>353.20000000000005</v>
      </c>
      <c r="U34" s="30">
        <v>270</v>
      </c>
      <c r="V34" s="31">
        <f t="shared" si="6"/>
        <v>3</v>
      </c>
      <c r="W34" s="39"/>
      <c r="X34" s="33">
        <f>735+16</f>
        <v>751</v>
      </c>
      <c r="Y34" s="33">
        <v>990</v>
      </c>
      <c r="Z34" s="33">
        <f t="shared" ref="Z34:Z36" si="27">ROUND(X34*100/Y34,1)</f>
        <v>75.900000000000006</v>
      </c>
      <c r="AA34" s="30">
        <f t="shared" si="8"/>
        <v>300.40000000000003</v>
      </c>
      <c r="AB34" s="30">
        <v>270</v>
      </c>
      <c r="AC34" s="34">
        <f t="shared" si="9"/>
        <v>1</v>
      </c>
    </row>
    <row r="35" spans="1:29" s="37" customFormat="1" ht="20.25" customHeight="1" x14ac:dyDescent="0.25">
      <c r="A35" s="36"/>
      <c r="B35" s="36"/>
      <c r="C35" s="36"/>
      <c r="D35" s="36"/>
      <c r="E35" s="36" t="s">
        <v>32</v>
      </c>
      <c r="F35" s="36"/>
      <c r="G35" s="32"/>
      <c r="H35" s="32"/>
      <c r="I35" s="36" t="s">
        <v>33</v>
      </c>
      <c r="J35" s="36" t="s">
        <v>45</v>
      </c>
      <c r="K35" s="46" t="s">
        <v>30</v>
      </c>
      <c r="L35" s="36"/>
      <c r="M35" s="36"/>
      <c r="N35" s="36"/>
      <c r="O35" s="44"/>
      <c r="P35" s="45"/>
      <c r="Q35" s="30">
        <f>120+12+735+26</f>
        <v>893</v>
      </c>
      <c r="R35" s="30">
        <f>315+990</f>
        <v>1305</v>
      </c>
      <c r="S35" s="33">
        <f t="shared" ref="S35" si="28">ROUND(Q35*100/R35,1)</f>
        <v>68.400000000000006</v>
      </c>
      <c r="T35" s="30">
        <f t="shared" ref="T35" si="29">Q35*0.4</f>
        <v>357.20000000000005</v>
      </c>
      <c r="U35" s="30">
        <v>270</v>
      </c>
      <c r="V35" s="31">
        <f t="shared" si="6"/>
        <v>3</v>
      </c>
      <c r="X35" s="30">
        <f>735+26</f>
        <v>761</v>
      </c>
      <c r="Y35" s="30">
        <f>990</f>
        <v>990</v>
      </c>
      <c r="Z35" s="30">
        <f t="shared" si="27"/>
        <v>76.900000000000006</v>
      </c>
      <c r="AA35" s="30">
        <f t="shared" si="8"/>
        <v>304.40000000000003</v>
      </c>
      <c r="AB35" s="30">
        <v>270</v>
      </c>
      <c r="AC35" s="34">
        <f t="shared" si="9"/>
        <v>1</v>
      </c>
    </row>
    <row r="36" spans="1:29" s="37" customFormat="1" ht="20.25" customHeight="1" x14ac:dyDescent="0.25">
      <c r="A36" s="36"/>
      <c r="B36" s="36"/>
      <c r="C36" s="36"/>
      <c r="D36" s="36" t="s">
        <v>31</v>
      </c>
      <c r="E36" s="36">
        <v>23</v>
      </c>
      <c r="F36" s="36"/>
      <c r="G36" s="32"/>
      <c r="H36" s="32"/>
      <c r="I36" s="36">
        <v>17</v>
      </c>
      <c r="J36" s="36">
        <v>2</v>
      </c>
      <c r="K36" s="36">
        <f>E36+I36+J36</f>
        <v>42</v>
      </c>
      <c r="L36" s="36"/>
      <c r="M36" s="36"/>
      <c r="N36" s="36"/>
      <c r="O36" s="44"/>
      <c r="P36" s="45"/>
      <c r="Q36" s="30"/>
      <c r="R36" s="30"/>
      <c r="S36" s="33"/>
      <c r="T36" s="30"/>
      <c r="U36" s="30">
        <v>270</v>
      </c>
      <c r="V36" s="31">
        <f t="shared" si="6"/>
        <v>-9</v>
      </c>
      <c r="W36" s="39"/>
      <c r="X36" s="33"/>
      <c r="Y36" s="33"/>
      <c r="Z36" s="33" t="e">
        <f t="shared" si="27"/>
        <v>#DIV/0!</v>
      </c>
      <c r="AA36" s="30">
        <f t="shared" si="8"/>
        <v>0</v>
      </c>
      <c r="AB36" s="30">
        <v>270</v>
      </c>
      <c r="AC36" s="34">
        <f t="shared" si="9"/>
        <v>-9</v>
      </c>
    </row>
    <row r="37" spans="1:29" s="37" customFormat="1" ht="20.25" customHeight="1" x14ac:dyDescent="0.25">
      <c r="A37" s="36"/>
      <c r="B37" s="36"/>
      <c r="C37" s="36"/>
      <c r="D37" s="36" t="s">
        <v>35</v>
      </c>
      <c r="E37" s="36"/>
      <c r="F37" s="36"/>
      <c r="G37" s="32"/>
      <c r="H37" s="32"/>
      <c r="I37" s="36"/>
      <c r="J37" s="36"/>
      <c r="K37" s="46" t="s">
        <v>46</v>
      </c>
      <c r="L37" s="36">
        <f>2900/42</f>
        <v>69.047619047619051</v>
      </c>
      <c r="M37" s="36"/>
      <c r="N37" s="36"/>
      <c r="O37" s="44"/>
      <c r="P37" s="36"/>
      <c r="Q37" s="43" t="s">
        <v>30</v>
      </c>
      <c r="R37" s="29"/>
      <c r="S37" s="43" t="s">
        <v>43</v>
      </c>
      <c r="T37" s="29"/>
      <c r="U37" s="30"/>
      <c r="V37" s="29"/>
      <c r="X37" s="29"/>
      <c r="Y37" s="29"/>
      <c r="Z37" s="43" t="s">
        <v>44</v>
      </c>
      <c r="AA37" s="29"/>
      <c r="AB37" s="30"/>
      <c r="AC37" s="29"/>
    </row>
    <row r="38" spans="1:29" s="5" customFormat="1" ht="18.75" customHeight="1" x14ac:dyDescent="0.25">
      <c r="A38" s="19"/>
      <c r="B38" s="19"/>
      <c r="C38" s="19"/>
      <c r="D38" s="19"/>
      <c r="E38" s="19"/>
      <c r="F38" s="19"/>
      <c r="G38" s="25"/>
      <c r="H38" s="25"/>
      <c r="I38" s="19"/>
      <c r="J38" s="19"/>
      <c r="K38" s="28" t="s">
        <v>47</v>
      </c>
      <c r="L38" s="19"/>
      <c r="M38" s="19"/>
      <c r="N38" s="19"/>
      <c r="O38" s="26"/>
      <c r="P38" s="19"/>
      <c r="U38" s="9"/>
      <c r="AB38" s="9"/>
    </row>
    <row r="39" spans="1:29" s="5" customFormat="1" ht="18.75" customHeight="1" x14ac:dyDescent="0.25">
      <c r="A39" s="19"/>
      <c r="B39" s="19"/>
      <c r="C39" s="19"/>
      <c r="D39" s="19" t="s">
        <v>37</v>
      </c>
      <c r="E39" s="19"/>
      <c r="F39" s="19"/>
      <c r="G39" s="25"/>
      <c r="H39" s="25"/>
      <c r="I39" s="19"/>
      <c r="J39" s="19"/>
      <c r="K39" s="27" t="s">
        <v>48</v>
      </c>
      <c r="L39" s="19"/>
      <c r="M39" s="19"/>
      <c r="N39" s="19"/>
      <c r="O39" s="26"/>
      <c r="P39" s="19"/>
      <c r="U39" s="9"/>
      <c r="AB39" s="9"/>
    </row>
    <row r="40" spans="1:29" s="5" customFormat="1" ht="18.75" customHeight="1" x14ac:dyDescent="0.25">
      <c r="A40" s="19"/>
      <c r="B40" s="19"/>
      <c r="C40" s="19"/>
      <c r="D40" s="19"/>
      <c r="E40" s="19"/>
      <c r="F40" s="19"/>
      <c r="G40" s="25"/>
      <c r="H40" s="25"/>
      <c r="I40" s="19"/>
      <c r="J40" s="19"/>
      <c r="K40" s="20" t="s">
        <v>49</v>
      </c>
      <c r="L40" s="19"/>
      <c r="M40" s="19"/>
      <c r="N40" s="19"/>
      <c r="O40" s="26"/>
      <c r="U40" s="9"/>
      <c r="AB40" s="9"/>
    </row>
    <row r="41" spans="1:29" s="5" customFormat="1" ht="18.75" customHeight="1" x14ac:dyDescent="0.25">
      <c r="G41" s="9"/>
      <c r="H41" s="9"/>
      <c r="U41" s="9"/>
      <c r="AB41" s="9"/>
    </row>
    <row r="42" spans="1:29" ht="18.75" customHeight="1" x14ac:dyDescent="0.25"/>
    <row r="43" spans="1:29" ht="18.75" customHeight="1" x14ac:dyDescent="0.25"/>
    <row r="44" spans="1:29" ht="18.75" customHeight="1" x14ac:dyDescent="0.25"/>
    <row r="45" spans="1:29" ht="18.75" customHeight="1" x14ac:dyDescent="0.25"/>
    <row r="46" spans="1:29" ht="18.75" customHeight="1" x14ac:dyDescent="0.25"/>
    <row r="47" spans="1:29" ht="18.75" customHeight="1" x14ac:dyDescent="0.25"/>
    <row r="48" spans="1:29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</sheetData>
  <mergeCells count="3">
    <mergeCell ref="X2:Z2"/>
    <mergeCell ref="A1:O1"/>
    <mergeCell ref="Q1:AC1"/>
  </mergeCells>
  <printOptions horizontalCentered="1"/>
  <pageMargins left="0.25" right="0.25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TK-18C1</vt:lpstr>
      <vt:lpstr>TRUMONCHUNG-18C1</vt:lpstr>
      <vt:lpstr>TK-18T4</vt:lpstr>
      <vt:lpstr>TRUMONCHUNG-18T4</vt:lpstr>
      <vt:lpstr>MH-HOCTAI-DN-18C1</vt:lpstr>
      <vt:lpstr>MH-HOCTAI-DN-18T4</vt:lpstr>
      <vt:lpstr>KHÓA 2017</vt:lpstr>
      <vt:lpstr>'KHÓA 2017'!Print_Titles</vt:lpstr>
      <vt:lpstr>'MH-HOCTAI-DN-18C1'!Print_Titles</vt:lpstr>
      <vt:lpstr>'MH-HOCTAI-DN-18T4'!Print_Titles</vt:lpstr>
      <vt:lpstr>'TK-18C1'!Print_Titles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2019-10-18T10:38:19Z</cp:lastPrinted>
  <dcterms:created xsi:type="dcterms:W3CDTF">2019-10-08T01:03:30Z</dcterms:created>
  <dcterms:modified xsi:type="dcterms:W3CDTF">2019-10-18T10:39:28Z</dcterms:modified>
</cp:coreProperties>
</file>